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drawings/drawing3.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codeName="{3D1A710C-6663-3D7B-7F91-EC182F24A4BC}"/>
  <workbookPr codeName="ThisWorkbook"/>
  <mc:AlternateContent xmlns:mc="http://schemas.openxmlformats.org/markup-compatibility/2006">
    <mc:Choice Requires="x15">
      <x15ac:absPath xmlns:x15ac="http://schemas.microsoft.com/office/spreadsheetml/2010/11/ac" url="G:\Shared drives\Administration\Administration Files\Water &amp; Sewer\Rates\WSP Rate Study\Waggoner\"/>
    </mc:Choice>
  </mc:AlternateContent>
  <xr:revisionPtr revIDLastSave="0" documentId="13_ncr:1_{7BE37565-4001-415C-9913-3444C13583B2}" xr6:coauthVersionLast="36" xr6:coauthVersionMax="47" xr10:uidLastSave="{00000000-0000-0000-0000-000000000000}"/>
  <bookViews>
    <workbookView xWindow="-120" yWindow="-120" windowWidth="29040" windowHeight="15840" tabRatio="848" xr2:uid="{00000000-000D-0000-FFFF-FFFF00000000}"/>
  </bookViews>
  <sheets>
    <sheet name="Summary" sheetId="51" r:id="rId1"/>
    <sheet name="Output Graphs" sheetId="46" r:id="rId2"/>
    <sheet name="Sum" sheetId="16" r:id="rId3"/>
    <sheet name="Bills" sheetId="49" r:id="rId4"/>
    <sheet name="W-Dem" sheetId="1" r:id="rId5"/>
    <sheet name="WW-Dem" sheetId="14" r:id="rId6"/>
    <sheet name="T-Rev" sheetId="24" r:id="rId7"/>
    <sheet name="W-Rev" sheetId="26" r:id="rId8"/>
    <sheet name="WW-Rev" sheetId="27" r:id="rId9"/>
    <sheet name="Exp" sheetId="28" r:id="rId10"/>
    <sheet name="W-CIP" sheetId="11" r:id="rId11"/>
    <sheet name="WW-CIP" sheetId="38" r:id="rId12"/>
    <sheet name="Debt" sheetId="3" r:id="rId13"/>
    <sheet name="Customer Data" sheetId="50" r:id="rId14"/>
  </sheets>
  <definedNames>
    <definedName name="_xlnm._FilterDatabase" localSheetId="2" hidden="1">Sum!#REF!</definedName>
    <definedName name="D_SORT">#REF!</definedName>
    <definedName name="_xlnm.Print_Area" localSheetId="12">Debt!$A$1:$K$214</definedName>
    <definedName name="_xlnm.Print_Area" localSheetId="9">Exp!#REF!</definedName>
    <definedName name="_xlnm.Print_Area" localSheetId="2">Sum!$A$1:$K$608</definedName>
    <definedName name="_xlnm.Print_Area" localSheetId="6">'T-Rev'!$A$1:$K$26</definedName>
    <definedName name="_xlnm.Print_Area" localSheetId="10">'W-CIP'!$A$1:$L$386</definedName>
    <definedName name="_xlnm.Print_Area" localSheetId="4">'W-Dem'!$A$1:$K$662</definedName>
    <definedName name="_xlnm.Print_Area" localSheetId="7">'W-Rev'!$A$1:$K$249</definedName>
    <definedName name="_xlnm.Print_Area" localSheetId="11">'WW-CIP'!$A$1:$L$180</definedName>
    <definedName name="_xlnm.Print_Area" localSheetId="5">'WW-Dem'!$A$1:$K$90</definedName>
    <definedName name="_xlnm.Print_Area" localSheetId="8">'WW-Rev'!$A$1:$K$83</definedName>
    <definedName name="SalaryGrades">Sum!#REF!</definedName>
    <definedName name="Sort">#REF!</definedName>
  </definedNames>
  <calcPr calcId="191029"/>
</workbook>
</file>

<file path=xl/calcChain.xml><?xml version="1.0" encoding="utf-8"?>
<calcChain xmlns="http://schemas.openxmlformats.org/spreadsheetml/2006/main">
  <c r="E40" i="49" l="1"/>
  <c r="E39" i="49"/>
  <c r="E38" i="49"/>
  <c r="E37" i="49"/>
  <c r="E36" i="49"/>
  <c r="E35" i="49"/>
  <c r="E34" i="49"/>
  <c r="E32" i="49"/>
  <c r="E31" i="49"/>
  <c r="E30" i="49"/>
  <c r="E29" i="49"/>
  <c r="E28" i="49"/>
  <c r="E27" i="49"/>
  <c r="E26" i="49"/>
  <c r="E22" i="49"/>
  <c r="E21" i="49"/>
  <c r="E20" i="49"/>
  <c r="E19" i="49"/>
  <c r="E18" i="49"/>
  <c r="E17" i="49"/>
  <c r="E16" i="49"/>
  <c r="E14" i="49"/>
  <c r="E13" i="49"/>
  <c r="E12" i="49"/>
  <c r="E11" i="49"/>
  <c r="E10" i="49"/>
  <c r="E9" i="49"/>
  <c r="E8" i="49"/>
  <c r="H9" i="3"/>
  <c r="I9" i="3"/>
  <c r="J9" i="3"/>
  <c r="K9" i="3"/>
  <c r="L9" i="3"/>
  <c r="Q563" i="16"/>
  <c r="P563" i="16"/>
  <c r="O563" i="16"/>
  <c r="N563" i="16"/>
  <c r="M563" i="16"/>
  <c r="L563" i="16"/>
  <c r="K563" i="16"/>
  <c r="J563" i="16"/>
  <c r="F175" i="16"/>
  <c r="F102" i="16"/>
  <c r="E61" i="14"/>
  <c r="E60" i="14"/>
  <c r="E54" i="14"/>
  <c r="E55" i="14"/>
  <c r="E46" i="14"/>
  <c r="F46" i="14" s="1"/>
  <c r="G46" i="14" s="1"/>
  <c r="H46" i="14" s="1"/>
  <c r="I46" i="14" s="1"/>
  <c r="J46" i="14" s="1"/>
  <c r="K46" i="14" s="1"/>
  <c r="L46" i="14" s="1"/>
  <c r="M46" i="14" s="1"/>
  <c r="N46" i="14" s="1"/>
  <c r="O46" i="14" s="1"/>
  <c r="P46" i="14" s="1"/>
  <c r="E45" i="14"/>
  <c r="F45" i="14" s="1"/>
  <c r="G45" i="14" s="1"/>
  <c r="H45" i="14" s="1"/>
  <c r="I45" i="14" s="1"/>
  <c r="J45" i="14" s="1"/>
  <c r="K45" i="14" s="1"/>
  <c r="L45" i="14" s="1"/>
  <c r="M45" i="14" s="1"/>
  <c r="N45" i="14" s="1"/>
  <c r="O45" i="14" s="1"/>
  <c r="P45" i="14" s="1"/>
  <c r="P42" i="50"/>
  <c r="E16" i="14"/>
  <c r="E15" i="14"/>
  <c r="E10" i="14"/>
  <c r="E9" i="14"/>
  <c r="E57" i="1"/>
  <c r="F57" i="1" s="1"/>
  <c r="G57" i="1" s="1"/>
  <c r="H57" i="1" s="1"/>
  <c r="I57" i="1" s="1"/>
  <c r="J57" i="1" s="1"/>
  <c r="K57" i="1" s="1"/>
  <c r="L57" i="1" s="1"/>
  <c r="M57" i="1" s="1"/>
  <c r="N57" i="1" s="1"/>
  <c r="O57" i="1" s="1"/>
  <c r="P57" i="1" s="1"/>
  <c r="E77" i="1"/>
  <c r="E76" i="1"/>
  <c r="E71" i="1"/>
  <c r="E70" i="1"/>
  <c r="E17" i="1"/>
  <c r="E16" i="1"/>
  <c r="E10" i="1"/>
  <c r="B295" i="16"/>
  <c r="B286" i="16"/>
  <c r="F274" i="16"/>
  <c r="E274" i="16"/>
  <c r="F273" i="16"/>
  <c r="E273" i="16"/>
  <c r="G35" i="50"/>
  <c r="G41" i="50"/>
  <c r="G33" i="50"/>
  <c r="G39" i="50"/>
  <c r="G31" i="50"/>
  <c r="G16" i="50"/>
  <c r="G8" i="50"/>
  <c r="G15" i="50"/>
  <c r="G7" i="50"/>
  <c r="P7" i="50" s="1"/>
  <c r="G13" i="50"/>
  <c r="G5" i="50"/>
  <c r="G36" i="50"/>
  <c r="G40" i="50"/>
  <c r="G32" i="50"/>
  <c r="G49" i="50"/>
  <c r="G14" i="50"/>
  <c r="G6" i="50"/>
  <c r="G22" i="50" s="1"/>
  <c r="F35" i="50"/>
  <c r="F41" i="50"/>
  <c r="F33" i="50"/>
  <c r="F39" i="50"/>
  <c r="F31" i="50"/>
  <c r="F16" i="50"/>
  <c r="F8" i="50"/>
  <c r="F15" i="50"/>
  <c r="F23" i="50" s="1"/>
  <c r="F7" i="50"/>
  <c r="F13" i="50"/>
  <c r="F21" i="50" s="1"/>
  <c r="F5" i="50"/>
  <c r="F36" i="50"/>
  <c r="F40" i="50"/>
  <c r="F32" i="50"/>
  <c r="F24" i="50"/>
  <c r="F14" i="50"/>
  <c r="F6" i="50"/>
  <c r="P22" i="50" s="1"/>
  <c r="E35" i="50"/>
  <c r="E41" i="50"/>
  <c r="E33" i="50"/>
  <c r="E39" i="50"/>
  <c r="E31" i="50"/>
  <c r="E16" i="50"/>
  <c r="E15" i="50"/>
  <c r="E23" i="50" s="1"/>
  <c r="E14" i="50"/>
  <c r="E13" i="50"/>
  <c r="E21" i="50" s="1"/>
  <c r="E8" i="50"/>
  <c r="P8" i="50" s="1"/>
  <c r="E7" i="50"/>
  <c r="E5" i="50"/>
  <c r="E40" i="50"/>
  <c r="E36" i="50"/>
  <c r="E32" i="50"/>
  <c r="E48" i="50" s="1"/>
  <c r="E9" i="50"/>
  <c r="E6" i="50"/>
  <c r="D41" i="50"/>
  <c r="D49" i="50" s="1"/>
  <c r="D39" i="50"/>
  <c r="D35" i="50"/>
  <c r="D33" i="50"/>
  <c r="D31" i="50"/>
  <c r="D16" i="50"/>
  <c r="D15" i="50"/>
  <c r="D13" i="50"/>
  <c r="D8" i="50"/>
  <c r="D7" i="50"/>
  <c r="D5" i="50"/>
  <c r="D40" i="50"/>
  <c r="D36" i="50"/>
  <c r="D32" i="50"/>
  <c r="D14" i="50"/>
  <c r="D22" i="50" s="1"/>
  <c r="D9" i="50"/>
  <c r="D6" i="50"/>
  <c r="P50" i="50"/>
  <c r="D48" i="50"/>
  <c r="G48" i="50"/>
  <c r="H48" i="50"/>
  <c r="I48" i="50"/>
  <c r="J48" i="50"/>
  <c r="K48" i="50"/>
  <c r="L48" i="50"/>
  <c r="M48" i="50"/>
  <c r="N48" i="50"/>
  <c r="O48" i="50"/>
  <c r="H49" i="50"/>
  <c r="I49" i="50"/>
  <c r="J49" i="50"/>
  <c r="K49" i="50"/>
  <c r="L49" i="50"/>
  <c r="M49" i="50"/>
  <c r="N49" i="50"/>
  <c r="O49" i="50"/>
  <c r="D50" i="50"/>
  <c r="E50" i="50"/>
  <c r="F50" i="50"/>
  <c r="G50" i="50"/>
  <c r="H50" i="50"/>
  <c r="I50" i="50"/>
  <c r="J50" i="50"/>
  <c r="K50" i="50"/>
  <c r="L50" i="50"/>
  <c r="M50" i="50"/>
  <c r="N50" i="50"/>
  <c r="O50" i="50"/>
  <c r="F47" i="50"/>
  <c r="H47" i="50"/>
  <c r="I47" i="50"/>
  <c r="J47" i="50"/>
  <c r="K47" i="50"/>
  <c r="L47" i="50"/>
  <c r="M47" i="50"/>
  <c r="N47" i="50"/>
  <c r="O47" i="50"/>
  <c r="E22" i="50"/>
  <c r="F22" i="50"/>
  <c r="H22" i="50"/>
  <c r="I22" i="50"/>
  <c r="J22" i="50"/>
  <c r="K22" i="50"/>
  <c r="L22" i="50"/>
  <c r="M22" i="50"/>
  <c r="N22" i="50"/>
  <c r="O22" i="50"/>
  <c r="H23" i="50"/>
  <c r="I23" i="50"/>
  <c r="J23" i="50"/>
  <c r="K23" i="50"/>
  <c r="L23" i="50"/>
  <c r="M23" i="50"/>
  <c r="N23" i="50"/>
  <c r="O23" i="50"/>
  <c r="G24" i="50"/>
  <c r="H24" i="50"/>
  <c r="I24" i="50"/>
  <c r="J24" i="50"/>
  <c r="K24" i="50"/>
  <c r="L24" i="50"/>
  <c r="M24" i="50"/>
  <c r="N24" i="50"/>
  <c r="O24" i="50"/>
  <c r="H21" i="50"/>
  <c r="I21" i="50"/>
  <c r="J21" i="50"/>
  <c r="K21" i="50"/>
  <c r="L21" i="50"/>
  <c r="M21" i="50"/>
  <c r="N21" i="50"/>
  <c r="O21" i="50"/>
  <c r="P34" i="50"/>
  <c r="P35" i="50"/>
  <c r="P36" i="50"/>
  <c r="J399" i="16"/>
  <c r="K399" i="16" s="1"/>
  <c r="L399" i="16" s="1"/>
  <c r="M399" i="16" s="1"/>
  <c r="N399" i="16" s="1"/>
  <c r="O399" i="16" s="1"/>
  <c r="P399" i="16" s="1"/>
  <c r="Q399" i="16" s="1"/>
  <c r="P9" i="3"/>
  <c r="O9" i="3"/>
  <c r="N9" i="3"/>
  <c r="M9" i="3"/>
  <c r="G9" i="3"/>
  <c r="F9" i="3"/>
  <c r="E9" i="3"/>
  <c r="P36" i="3"/>
  <c r="O36" i="3"/>
  <c r="N36" i="3"/>
  <c r="M36" i="3"/>
  <c r="L36" i="3"/>
  <c r="K36" i="3"/>
  <c r="J36" i="3"/>
  <c r="I36" i="3"/>
  <c r="H36" i="3"/>
  <c r="G36" i="3"/>
  <c r="F36" i="3"/>
  <c r="E36" i="3"/>
  <c r="Q603" i="16"/>
  <c r="P603" i="16"/>
  <c r="O603" i="16"/>
  <c r="N603" i="16"/>
  <c r="M603" i="16"/>
  <c r="L603" i="16"/>
  <c r="K603" i="16"/>
  <c r="J603" i="16"/>
  <c r="I603" i="16"/>
  <c r="G47" i="50" l="1"/>
  <c r="G23" i="50"/>
  <c r="G21" i="50"/>
  <c r="P40" i="50"/>
  <c r="F48" i="50"/>
  <c r="F49" i="50"/>
  <c r="P33" i="50"/>
  <c r="P49" i="50"/>
  <c r="E49" i="50"/>
  <c r="P24" i="50"/>
  <c r="E24" i="50"/>
  <c r="E47" i="50"/>
  <c r="P47" i="50"/>
  <c r="P23" i="50"/>
  <c r="P21" i="50"/>
  <c r="D47" i="50"/>
  <c r="P15" i="50"/>
  <c r="D23" i="50"/>
  <c r="P48" i="50"/>
  <c r="P32" i="50"/>
  <c r="P16" i="50"/>
  <c r="D24" i="50"/>
  <c r="D21" i="50"/>
  <c r="G46" i="24" l="1"/>
  <c r="H46" i="24" s="1"/>
  <c r="I46" i="24" s="1"/>
  <c r="J46" i="24" s="1"/>
  <c r="K46" i="24" s="1"/>
  <c r="L46" i="24" s="1"/>
  <c r="M46" i="24" s="1"/>
  <c r="N46" i="24" s="1"/>
  <c r="O46" i="24" s="1"/>
  <c r="P46" i="24" s="1"/>
  <c r="G45" i="24"/>
  <c r="H45" i="24" s="1"/>
  <c r="I45" i="24" s="1"/>
  <c r="J45" i="24" s="1"/>
  <c r="K45" i="24" s="1"/>
  <c r="L45" i="24" s="1"/>
  <c r="M45" i="24" s="1"/>
  <c r="N45" i="24" s="1"/>
  <c r="O45" i="24" s="1"/>
  <c r="P45" i="24" s="1"/>
  <c r="G44" i="24"/>
  <c r="H44" i="24" s="1"/>
  <c r="I44" i="24" s="1"/>
  <c r="J44" i="24" s="1"/>
  <c r="K44" i="24" s="1"/>
  <c r="L44" i="24" s="1"/>
  <c r="M44" i="24" s="1"/>
  <c r="N44" i="24" s="1"/>
  <c r="O44" i="24" s="1"/>
  <c r="P44" i="24" s="1"/>
  <c r="G75" i="28"/>
  <c r="G46" i="28"/>
  <c r="G47" i="28"/>
  <c r="G48" i="28"/>
  <c r="G105" i="28" s="1"/>
  <c r="G49" i="28"/>
  <c r="H49" i="28" s="1"/>
  <c r="I49" i="28" s="1"/>
  <c r="J49" i="28" s="1"/>
  <c r="K49" i="28" s="1"/>
  <c r="L49" i="28" s="1"/>
  <c r="M49" i="28" s="1"/>
  <c r="N49" i="28" s="1"/>
  <c r="O49" i="28" s="1"/>
  <c r="P49" i="28" s="1"/>
  <c r="G50" i="28"/>
  <c r="H50" i="28" s="1"/>
  <c r="I50" i="28" s="1"/>
  <c r="J50" i="28" s="1"/>
  <c r="K50" i="28" s="1"/>
  <c r="L50" i="28" s="1"/>
  <c r="M50" i="28" s="1"/>
  <c r="N50" i="28" s="1"/>
  <c r="O50" i="28" s="1"/>
  <c r="P50" i="28" s="1"/>
  <c r="G51" i="28"/>
  <c r="G52" i="28"/>
  <c r="G109" i="28" s="1"/>
  <c r="G53" i="28"/>
  <c r="G110" i="28" s="1"/>
  <c r="G54" i="28"/>
  <c r="G55" i="28"/>
  <c r="G10" i="28"/>
  <c r="G11" i="28"/>
  <c r="G86" i="28" s="1"/>
  <c r="G27" i="28"/>
  <c r="G28" i="28"/>
  <c r="G29" i="28"/>
  <c r="G30" i="28"/>
  <c r="H30" i="28" s="1"/>
  <c r="G31" i="28"/>
  <c r="H31" i="28" s="1"/>
  <c r="G32" i="28"/>
  <c r="H32" i="28" s="1"/>
  <c r="G33" i="28"/>
  <c r="H33" i="28" s="1"/>
  <c r="I33" i="28" s="1"/>
  <c r="J33" i="28" s="1"/>
  <c r="G34" i="28"/>
  <c r="H34" i="28" s="1"/>
  <c r="G35" i="28"/>
  <c r="G36" i="28"/>
  <c r="H36" i="28" s="1"/>
  <c r="G37" i="28"/>
  <c r="G101" i="28"/>
  <c r="G39" i="24"/>
  <c r="G40" i="24"/>
  <c r="G37" i="24"/>
  <c r="E75" i="27"/>
  <c r="E74" i="27"/>
  <c r="F78" i="14"/>
  <c r="P41" i="50"/>
  <c r="P39" i="50"/>
  <c r="P31" i="50"/>
  <c r="P14" i="50"/>
  <c r="P17" i="50"/>
  <c r="P13" i="50"/>
  <c r="P6" i="50"/>
  <c r="P9" i="50"/>
  <c r="E331" i="1" s="1"/>
  <c r="P5" i="50"/>
  <c r="E9" i="1" s="1"/>
  <c r="H165" i="28"/>
  <c r="I165" i="28"/>
  <c r="J165" i="28"/>
  <c r="K165" i="28"/>
  <c r="L165" i="28"/>
  <c r="M165" i="28"/>
  <c r="N165" i="28"/>
  <c r="O165" i="28"/>
  <c r="P165" i="28"/>
  <c r="H166" i="28"/>
  <c r="I166" i="28"/>
  <c r="J166" i="28"/>
  <c r="K166" i="28"/>
  <c r="L166" i="28"/>
  <c r="M166" i="28"/>
  <c r="N166" i="28"/>
  <c r="O166" i="28"/>
  <c r="P166" i="28"/>
  <c r="H167" i="28"/>
  <c r="I167" i="28"/>
  <c r="J167" i="28"/>
  <c r="K167" i="28"/>
  <c r="L167" i="28"/>
  <c r="M167" i="28"/>
  <c r="N167" i="28"/>
  <c r="O167" i="28"/>
  <c r="P167" i="28"/>
  <c r="H168" i="28"/>
  <c r="I168" i="28"/>
  <c r="J168" i="28"/>
  <c r="K168" i="28"/>
  <c r="L168" i="28"/>
  <c r="M168" i="28"/>
  <c r="N168" i="28"/>
  <c r="O168" i="28"/>
  <c r="P168" i="28"/>
  <c r="H169" i="28"/>
  <c r="I169" i="28"/>
  <c r="J169" i="28"/>
  <c r="K169" i="28"/>
  <c r="L169" i="28"/>
  <c r="M169" i="28"/>
  <c r="N169" i="28"/>
  <c r="O169" i="28"/>
  <c r="P169" i="28"/>
  <c r="H170" i="28"/>
  <c r="I170" i="28"/>
  <c r="J170" i="28"/>
  <c r="K170" i="28"/>
  <c r="L170" i="28"/>
  <c r="M170" i="28"/>
  <c r="N170" i="28"/>
  <c r="O170" i="28"/>
  <c r="P170" i="28"/>
  <c r="H147" i="28"/>
  <c r="I147" i="28"/>
  <c r="J147" i="28"/>
  <c r="K147" i="28"/>
  <c r="L147" i="28"/>
  <c r="M147" i="28"/>
  <c r="N147" i="28"/>
  <c r="O147" i="28"/>
  <c r="P147" i="28"/>
  <c r="H148" i="28"/>
  <c r="I148" i="28"/>
  <c r="J148" i="28"/>
  <c r="K148" i="28"/>
  <c r="L148" i="28"/>
  <c r="M148" i="28"/>
  <c r="N148" i="28"/>
  <c r="O148" i="28"/>
  <c r="P148" i="28"/>
  <c r="H149" i="28"/>
  <c r="I149" i="28"/>
  <c r="J149" i="28"/>
  <c r="K149" i="28"/>
  <c r="L149" i="28"/>
  <c r="M149" i="28"/>
  <c r="N149" i="28"/>
  <c r="O149" i="28"/>
  <c r="P149" i="28"/>
  <c r="H150" i="28"/>
  <c r="I150" i="28"/>
  <c r="J150" i="28"/>
  <c r="K150" i="28"/>
  <c r="L150" i="28"/>
  <c r="M150" i="28"/>
  <c r="N150" i="28"/>
  <c r="O150" i="28"/>
  <c r="P150" i="28"/>
  <c r="H151" i="28"/>
  <c r="I151" i="28"/>
  <c r="J151" i="28"/>
  <c r="K151" i="28"/>
  <c r="L151" i="28"/>
  <c r="M151" i="28"/>
  <c r="N151" i="28"/>
  <c r="O151" i="28"/>
  <c r="P151" i="28"/>
  <c r="H152" i="28"/>
  <c r="I152" i="28"/>
  <c r="J152" i="28"/>
  <c r="K152" i="28"/>
  <c r="L152" i="28"/>
  <c r="M152" i="28"/>
  <c r="N152" i="28"/>
  <c r="O152" i="28"/>
  <c r="P152" i="28"/>
  <c r="H153" i="28"/>
  <c r="I153" i="28"/>
  <c r="J153" i="28"/>
  <c r="K153" i="28"/>
  <c r="L153" i="28"/>
  <c r="M153" i="28"/>
  <c r="N153" i="28"/>
  <c r="O153" i="28"/>
  <c r="P153" i="28"/>
  <c r="H130" i="28"/>
  <c r="I130" i="28"/>
  <c r="J130" i="28"/>
  <c r="K130" i="28"/>
  <c r="K131" i="28" s="1"/>
  <c r="K132" i="28" s="1"/>
  <c r="K133" i="28" s="1"/>
  <c r="K134" i="28" s="1"/>
  <c r="L130" i="28"/>
  <c r="L131" i="28" s="1"/>
  <c r="L132" i="28" s="1"/>
  <c r="L133" i="28" s="1"/>
  <c r="L134" i="28" s="1"/>
  <c r="M130" i="28"/>
  <c r="M131" i="28" s="1"/>
  <c r="M132" i="28" s="1"/>
  <c r="M133" i="28" s="1"/>
  <c r="M134" i="28" s="1"/>
  <c r="N130" i="28"/>
  <c r="O130" i="28"/>
  <c r="P130" i="28"/>
  <c r="H131" i="28"/>
  <c r="H132" i="28" s="1"/>
  <c r="H133" i="28" s="1"/>
  <c r="H134" i="28" s="1"/>
  <c r="I131" i="28"/>
  <c r="I132" i="28" s="1"/>
  <c r="I133" i="28" s="1"/>
  <c r="I134" i="28" s="1"/>
  <c r="J131" i="28"/>
  <c r="J132" i="28" s="1"/>
  <c r="J133" i="28" s="1"/>
  <c r="J134" i="28" s="1"/>
  <c r="N131" i="28"/>
  <c r="N132" i="28" s="1"/>
  <c r="N133" i="28" s="1"/>
  <c r="N134" i="28" s="1"/>
  <c r="O131" i="28"/>
  <c r="O132" i="28" s="1"/>
  <c r="O133" i="28" s="1"/>
  <c r="O134" i="28" s="1"/>
  <c r="P131" i="28"/>
  <c r="P132" i="28" s="1"/>
  <c r="P133" i="28" s="1"/>
  <c r="P134" i="28" s="1"/>
  <c r="F116" i="28"/>
  <c r="E116" i="28"/>
  <c r="F114" i="28"/>
  <c r="E114" i="28"/>
  <c r="F89" i="28"/>
  <c r="E89" i="28"/>
  <c r="F87" i="28"/>
  <c r="E87" i="28"/>
  <c r="G112" i="28"/>
  <c r="F112" i="28"/>
  <c r="E112" i="28"/>
  <c r="F111" i="28"/>
  <c r="E111" i="28"/>
  <c r="F110" i="28"/>
  <c r="E110" i="28"/>
  <c r="F109" i="28"/>
  <c r="E109" i="28"/>
  <c r="F108" i="28"/>
  <c r="E108" i="28"/>
  <c r="F107" i="28"/>
  <c r="E107" i="28"/>
  <c r="F106" i="28"/>
  <c r="E106" i="28"/>
  <c r="F105" i="28"/>
  <c r="E105" i="28"/>
  <c r="F104" i="28"/>
  <c r="E104" i="28"/>
  <c r="F103" i="28"/>
  <c r="E103" i="28"/>
  <c r="F102" i="28"/>
  <c r="E102" i="28"/>
  <c r="F101" i="28"/>
  <c r="E101" i="28"/>
  <c r="F113" i="28"/>
  <c r="E113" i="28"/>
  <c r="F86" i="28"/>
  <c r="E86" i="28"/>
  <c r="G85" i="28"/>
  <c r="F85" i="28"/>
  <c r="E85" i="28"/>
  <c r="F84" i="28"/>
  <c r="E84" i="28"/>
  <c r="F83" i="28"/>
  <c r="E83" i="28"/>
  <c r="F82" i="28"/>
  <c r="E82" i="28"/>
  <c r="F81" i="28"/>
  <c r="E81" i="28"/>
  <c r="F80" i="28"/>
  <c r="E80" i="28"/>
  <c r="F79" i="28"/>
  <c r="E79" i="28"/>
  <c r="F78" i="28"/>
  <c r="E78" i="28"/>
  <c r="F77" i="28"/>
  <c r="E77" i="28"/>
  <c r="F76" i="28"/>
  <c r="E76" i="28"/>
  <c r="F75" i="28"/>
  <c r="E75" i="28"/>
  <c r="F74" i="28"/>
  <c r="E74" i="28"/>
  <c r="S48" i="28"/>
  <c r="S49" i="28"/>
  <c r="S50" i="28"/>
  <c r="S51" i="28"/>
  <c r="S52" i="28"/>
  <c r="H48" i="28"/>
  <c r="I48" i="28" s="1"/>
  <c r="J48" i="28" s="1"/>
  <c r="K48" i="28" s="1"/>
  <c r="L48" i="28" s="1"/>
  <c r="M48" i="28" s="1"/>
  <c r="N48" i="28" s="1"/>
  <c r="O48" i="28" s="1"/>
  <c r="P48" i="28" s="1"/>
  <c r="H54" i="28"/>
  <c r="I54" i="28" s="1"/>
  <c r="J54" i="28" s="1"/>
  <c r="K54" i="28" s="1"/>
  <c r="L54" i="28" s="1"/>
  <c r="M54" i="28" s="1"/>
  <c r="N54" i="28" s="1"/>
  <c r="O54" i="28" s="1"/>
  <c r="P54" i="28" s="1"/>
  <c r="H55" i="28"/>
  <c r="I55" i="28" s="1"/>
  <c r="J55" i="28" s="1"/>
  <c r="K55" i="28" s="1"/>
  <c r="L55" i="28" s="1"/>
  <c r="M55" i="28" s="1"/>
  <c r="N55" i="28" s="1"/>
  <c r="O55" i="28" s="1"/>
  <c r="P55" i="28" s="1"/>
  <c r="S32" i="28"/>
  <c r="S33" i="28"/>
  <c r="S34" i="28"/>
  <c r="S35" i="28"/>
  <c r="S36" i="28"/>
  <c r="S13" i="28"/>
  <c r="S14" i="28"/>
  <c r="S15" i="28"/>
  <c r="S16" i="28"/>
  <c r="S17" i="28"/>
  <c r="H13" i="28"/>
  <c r="I13" i="28"/>
  <c r="J13" i="28" s="1"/>
  <c r="K13" i="28" s="1"/>
  <c r="L13" i="28" s="1"/>
  <c r="M13" i="28" s="1"/>
  <c r="N13" i="28" s="1"/>
  <c r="O13" i="28" s="1"/>
  <c r="P13" i="28" s="1"/>
  <c r="H14" i="28"/>
  <c r="I14" i="28" s="1"/>
  <c r="J14" i="28" s="1"/>
  <c r="K14" i="28" s="1"/>
  <c r="L14" i="28" s="1"/>
  <c r="M14" i="28" s="1"/>
  <c r="N14" i="28" s="1"/>
  <c r="O14" i="28" s="1"/>
  <c r="P14" i="28" s="1"/>
  <c r="H15" i="28"/>
  <c r="I15" i="28" s="1"/>
  <c r="J15" i="28" s="1"/>
  <c r="K15" i="28" s="1"/>
  <c r="L15" i="28" s="1"/>
  <c r="M15" i="28" s="1"/>
  <c r="N15" i="28" s="1"/>
  <c r="O15" i="28" s="1"/>
  <c r="P15" i="28" s="1"/>
  <c r="H16" i="28"/>
  <c r="I16" i="28" s="1"/>
  <c r="J16" i="28" s="1"/>
  <c r="K16" i="28" s="1"/>
  <c r="L16" i="28" s="1"/>
  <c r="M16" i="28" s="1"/>
  <c r="N16" i="28" s="1"/>
  <c r="O16" i="28" s="1"/>
  <c r="P16" i="28" s="1"/>
  <c r="H17" i="28"/>
  <c r="I17" i="28" s="1"/>
  <c r="J17" i="28" s="1"/>
  <c r="K17" i="28" s="1"/>
  <c r="L17" i="28" s="1"/>
  <c r="M17" i="28" s="1"/>
  <c r="N17" i="28" s="1"/>
  <c r="O17" i="28" s="1"/>
  <c r="P17" i="28" s="1"/>
  <c r="H18" i="28"/>
  <c r="I18" i="28" s="1"/>
  <c r="J18" i="28" s="1"/>
  <c r="K18" i="28" s="1"/>
  <c r="L18" i="28" s="1"/>
  <c r="M18" i="28" s="1"/>
  <c r="N18" i="28" s="1"/>
  <c r="O18" i="28" s="1"/>
  <c r="P18" i="28" s="1"/>
  <c r="H19" i="28"/>
  <c r="I19" i="28" s="1"/>
  <c r="J19" i="28" s="1"/>
  <c r="K19" i="28" s="1"/>
  <c r="L19" i="28" s="1"/>
  <c r="M19" i="28" s="1"/>
  <c r="N19" i="28" s="1"/>
  <c r="O19" i="28" s="1"/>
  <c r="P19" i="28" s="1"/>
  <c r="H20" i="28"/>
  <c r="I20" i="28" s="1"/>
  <c r="J20" i="28" s="1"/>
  <c r="K20" i="28" s="1"/>
  <c r="L20" i="28" s="1"/>
  <c r="M20" i="28" s="1"/>
  <c r="N20" i="28" s="1"/>
  <c r="O20" i="28" s="1"/>
  <c r="P20" i="28" s="1"/>
  <c r="H21" i="28"/>
  <c r="I21" i="28"/>
  <c r="J21" i="28"/>
  <c r="K21" i="28"/>
  <c r="L21" i="28" s="1"/>
  <c r="M21" i="28" s="1"/>
  <c r="N21" i="28" s="1"/>
  <c r="O21" i="28" s="1"/>
  <c r="P21" i="28" s="1"/>
  <c r="H34" i="24"/>
  <c r="P12" i="26"/>
  <c r="O12" i="26"/>
  <c r="N12" i="26"/>
  <c r="M12" i="26"/>
  <c r="L12" i="26"/>
  <c r="K12" i="26"/>
  <c r="J12" i="26"/>
  <c r="I12" i="26"/>
  <c r="H12" i="26"/>
  <c r="G12" i="26"/>
  <c r="F12" i="26"/>
  <c r="E12" i="26"/>
  <c r="G274" i="16"/>
  <c r="H274" i="16" s="1"/>
  <c r="I274" i="16" s="1"/>
  <c r="J274" i="16" s="1"/>
  <c r="K274" i="16" s="1"/>
  <c r="L274" i="16" s="1"/>
  <c r="M274" i="16" s="1"/>
  <c r="N274" i="16" s="1"/>
  <c r="O274" i="16" s="1"/>
  <c r="P274" i="16" s="1"/>
  <c r="G273" i="16"/>
  <c r="H273" i="16" s="1"/>
  <c r="I273" i="16" s="1"/>
  <c r="J273" i="16" s="1"/>
  <c r="K273" i="16" s="1"/>
  <c r="L273" i="16" s="1"/>
  <c r="M273" i="16" s="1"/>
  <c r="N273" i="16" s="1"/>
  <c r="O273" i="16" s="1"/>
  <c r="P273" i="16" s="1"/>
  <c r="E382" i="1"/>
  <c r="G104" i="28" l="1"/>
  <c r="G103" i="28"/>
  <c r="G111" i="28"/>
  <c r="G106" i="28"/>
  <c r="G76" i="28"/>
  <c r="G113" i="28"/>
  <c r="G74" i="28"/>
  <c r="G102" i="28"/>
  <c r="G108" i="28"/>
  <c r="G80" i="28"/>
  <c r="G107" i="28"/>
  <c r="G78" i="28"/>
  <c r="G77" i="28"/>
  <c r="H53" i="28"/>
  <c r="I53" i="28" s="1"/>
  <c r="J53" i="28" s="1"/>
  <c r="K53" i="28" s="1"/>
  <c r="L53" i="28" s="1"/>
  <c r="M53" i="28" s="1"/>
  <c r="N53" i="28" s="1"/>
  <c r="O53" i="28" s="1"/>
  <c r="P53" i="28" s="1"/>
  <c r="G81" i="28"/>
  <c r="H51" i="28"/>
  <c r="H81" i="28" s="1"/>
  <c r="G79" i="28"/>
  <c r="H52" i="28"/>
  <c r="I52" i="28" s="1"/>
  <c r="J52" i="28" s="1"/>
  <c r="K52" i="28" s="1"/>
  <c r="L52" i="28" s="1"/>
  <c r="M52" i="28" s="1"/>
  <c r="N52" i="28" s="1"/>
  <c r="O52" i="28" s="1"/>
  <c r="P52" i="28" s="1"/>
  <c r="G83" i="28"/>
  <c r="I31" i="28"/>
  <c r="H79" i="28"/>
  <c r="H106" i="28"/>
  <c r="I30" i="28"/>
  <c r="H78" i="28"/>
  <c r="H105" i="28"/>
  <c r="H111" i="28"/>
  <c r="H84" i="28"/>
  <c r="I36" i="28"/>
  <c r="I34" i="28"/>
  <c r="H107" i="28"/>
  <c r="H80" i="28"/>
  <c r="I32" i="28"/>
  <c r="H35" i="28"/>
  <c r="K33" i="28"/>
  <c r="G82" i="28"/>
  <c r="G84" i="28"/>
  <c r="E370" i="1"/>
  <c r="E56" i="1"/>
  <c r="I581" i="16"/>
  <c r="H108" i="28" l="1"/>
  <c r="I51" i="28"/>
  <c r="H109" i="28"/>
  <c r="H82" i="28"/>
  <c r="J34" i="28"/>
  <c r="I82" i="28"/>
  <c r="I109" i="28"/>
  <c r="I84" i="28"/>
  <c r="J36" i="28"/>
  <c r="I111" i="28"/>
  <c r="L33" i="28"/>
  <c r="I35" i="28"/>
  <c r="H110" i="28"/>
  <c r="H83" i="28"/>
  <c r="J30" i="28"/>
  <c r="I105" i="28"/>
  <c r="I78" i="28"/>
  <c r="J32" i="28"/>
  <c r="I107" i="28"/>
  <c r="I80" i="28"/>
  <c r="J31" i="28"/>
  <c r="I79" i="28"/>
  <c r="I106" i="28"/>
  <c r="J51" i="28" l="1"/>
  <c r="I108" i="28"/>
  <c r="I81" i="28"/>
  <c r="K30" i="28"/>
  <c r="J105" i="28"/>
  <c r="J78" i="28"/>
  <c r="K34" i="28"/>
  <c r="J82" i="28"/>
  <c r="J109" i="28"/>
  <c r="J35" i="28"/>
  <c r="I83" i="28"/>
  <c r="I110" i="28"/>
  <c r="M33" i="28"/>
  <c r="K31" i="28"/>
  <c r="J79" i="28"/>
  <c r="J106" i="28"/>
  <c r="J111" i="28"/>
  <c r="J84" i="28"/>
  <c r="K36" i="28"/>
  <c r="K32" i="28"/>
  <c r="J80" i="28"/>
  <c r="J107" i="28"/>
  <c r="H186" i="11"/>
  <c r="I186" i="11" s="1"/>
  <c r="J186" i="11" s="1"/>
  <c r="K186" i="11" s="1"/>
  <c r="L186" i="11" s="1"/>
  <c r="M186" i="11" s="1"/>
  <c r="N186" i="11" s="1"/>
  <c r="O186" i="11" s="1"/>
  <c r="P186" i="11" s="1"/>
  <c r="K51" i="28" l="1"/>
  <c r="J81" i="28"/>
  <c r="J108" i="28"/>
  <c r="N33" i="28"/>
  <c r="L32" i="28"/>
  <c r="K80" i="28"/>
  <c r="K107" i="28"/>
  <c r="K35" i="28"/>
  <c r="J83" i="28"/>
  <c r="J110" i="28"/>
  <c r="L36" i="28"/>
  <c r="K111" i="28"/>
  <c r="K84" i="28"/>
  <c r="L34" i="28"/>
  <c r="K82" i="28"/>
  <c r="K109" i="28"/>
  <c r="L31" i="28"/>
  <c r="K79" i="28"/>
  <c r="K106" i="28"/>
  <c r="L30" i="28"/>
  <c r="K105" i="28"/>
  <c r="K78" i="28"/>
  <c r="E66" i="26"/>
  <c r="E55" i="26"/>
  <c r="F332" i="1"/>
  <c r="G332" i="1" s="1"/>
  <c r="H332" i="1" s="1"/>
  <c r="I332" i="1" s="1"/>
  <c r="J332" i="1" s="1"/>
  <c r="E319" i="1"/>
  <c r="F319" i="1" s="1"/>
  <c r="G319" i="1" s="1"/>
  <c r="H319" i="1" s="1"/>
  <c r="I319" i="1" s="1"/>
  <c r="J319" i="1" s="1"/>
  <c r="C328" i="16"/>
  <c r="C319" i="16"/>
  <c r="J47" i="3"/>
  <c r="K47" i="3"/>
  <c r="L47" i="3"/>
  <c r="M47" i="3"/>
  <c r="N47" i="3"/>
  <c r="O47" i="3"/>
  <c r="P47" i="3"/>
  <c r="J8" i="3"/>
  <c r="J17" i="24" s="1"/>
  <c r="K8" i="3"/>
  <c r="K17" i="24" s="1"/>
  <c r="L8" i="3"/>
  <c r="L17" i="24" s="1"/>
  <c r="M8" i="3"/>
  <c r="M17" i="24" s="1"/>
  <c r="N8" i="3"/>
  <c r="N17" i="24" s="1"/>
  <c r="O8" i="3"/>
  <c r="O17" i="24" s="1"/>
  <c r="P8" i="3"/>
  <c r="P17" i="24" s="1"/>
  <c r="J10" i="3"/>
  <c r="K10" i="3"/>
  <c r="L10" i="3"/>
  <c r="M10" i="3"/>
  <c r="N10" i="3"/>
  <c r="O10" i="3"/>
  <c r="P10" i="3"/>
  <c r="J11" i="3"/>
  <c r="K11" i="3"/>
  <c r="L11" i="3"/>
  <c r="M11" i="3"/>
  <c r="N11" i="3"/>
  <c r="O11" i="3"/>
  <c r="P11" i="3"/>
  <c r="J12" i="3"/>
  <c r="K12" i="3"/>
  <c r="L12" i="3"/>
  <c r="M12" i="3"/>
  <c r="N12" i="3"/>
  <c r="O12" i="3"/>
  <c r="P12" i="3"/>
  <c r="J13" i="3"/>
  <c r="K13" i="3"/>
  <c r="L13" i="3"/>
  <c r="M13" i="3"/>
  <c r="N13" i="3"/>
  <c r="O13" i="3"/>
  <c r="P13" i="3"/>
  <c r="J14" i="3"/>
  <c r="K14" i="3"/>
  <c r="L14" i="3"/>
  <c r="M14" i="3"/>
  <c r="N14" i="3"/>
  <c r="O14" i="3"/>
  <c r="P14" i="3"/>
  <c r="J15" i="3"/>
  <c r="K15" i="3"/>
  <c r="L15" i="3"/>
  <c r="M15" i="3"/>
  <c r="N15" i="3"/>
  <c r="O15" i="3"/>
  <c r="P15" i="3"/>
  <c r="J16" i="3"/>
  <c r="K16" i="3"/>
  <c r="L16" i="3"/>
  <c r="M16" i="3"/>
  <c r="N16" i="3"/>
  <c r="O16" i="3"/>
  <c r="P16" i="3"/>
  <c r="J17" i="3"/>
  <c r="K17" i="3"/>
  <c r="L17" i="3"/>
  <c r="M17" i="3"/>
  <c r="N17" i="3"/>
  <c r="O17" i="3"/>
  <c r="P17" i="3"/>
  <c r="J18" i="3"/>
  <c r="K18" i="3"/>
  <c r="L18" i="3"/>
  <c r="M18" i="3"/>
  <c r="N18" i="3"/>
  <c r="O18" i="3"/>
  <c r="P18" i="3"/>
  <c r="J22" i="3"/>
  <c r="J18" i="24" s="1"/>
  <c r="K22" i="3"/>
  <c r="K18" i="24" s="1"/>
  <c r="L22" i="3"/>
  <c r="L18" i="24" s="1"/>
  <c r="M22" i="3"/>
  <c r="M18" i="24" s="1"/>
  <c r="N22" i="3"/>
  <c r="N18" i="24" s="1"/>
  <c r="O22" i="3"/>
  <c r="O18" i="24" s="1"/>
  <c r="P22" i="3"/>
  <c r="P18" i="24" s="1"/>
  <c r="J23" i="3"/>
  <c r="K23" i="3"/>
  <c r="L23" i="3"/>
  <c r="M23" i="3"/>
  <c r="N23" i="3"/>
  <c r="O23" i="3"/>
  <c r="P23" i="3"/>
  <c r="J24" i="3"/>
  <c r="K24" i="3"/>
  <c r="L24" i="3"/>
  <c r="M24" i="3"/>
  <c r="N24" i="3"/>
  <c r="O24" i="3"/>
  <c r="P24" i="3"/>
  <c r="J25" i="3"/>
  <c r="K25" i="3"/>
  <c r="L25" i="3"/>
  <c r="M25" i="3"/>
  <c r="N25" i="3"/>
  <c r="O25" i="3"/>
  <c r="P25" i="3"/>
  <c r="J26" i="3"/>
  <c r="K26" i="3"/>
  <c r="L26" i="3"/>
  <c r="M26" i="3"/>
  <c r="N26" i="3"/>
  <c r="O26" i="3"/>
  <c r="P26" i="3"/>
  <c r="J27" i="3"/>
  <c r="K27" i="3"/>
  <c r="L27" i="3"/>
  <c r="M27" i="3"/>
  <c r="N27" i="3"/>
  <c r="O27" i="3"/>
  <c r="P27" i="3"/>
  <c r="J28" i="3"/>
  <c r="K28" i="3"/>
  <c r="L28" i="3"/>
  <c r="M28" i="3"/>
  <c r="N28" i="3"/>
  <c r="O28" i="3"/>
  <c r="P28" i="3"/>
  <c r="J29" i="3"/>
  <c r="K29" i="3"/>
  <c r="L29" i="3"/>
  <c r="M29" i="3"/>
  <c r="N29" i="3"/>
  <c r="O29" i="3"/>
  <c r="P29" i="3"/>
  <c r="J30" i="3"/>
  <c r="K30" i="3"/>
  <c r="L30" i="3"/>
  <c r="M30" i="3"/>
  <c r="N30" i="3"/>
  <c r="O30" i="3"/>
  <c r="P30" i="3"/>
  <c r="J31" i="3"/>
  <c r="K31" i="3"/>
  <c r="L31" i="3"/>
  <c r="M31" i="3"/>
  <c r="N31" i="3"/>
  <c r="O31" i="3"/>
  <c r="P31" i="3"/>
  <c r="J32" i="3"/>
  <c r="K32" i="3"/>
  <c r="L32" i="3"/>
  <c r="M32" i="3"/>
  <c r="N32" i="3"/>
  <c r="O32" i="3"/>
  <c r="P32" i="3"/>
  <c r="K7" i="11"/>
  <c r="L7" i="11"/>
  <c r="M7" i="11"/>
  <c r="N7" i="11"/>
  <c r="O7" i="11"/>
  <c r="J78" i="14"/>
  <c r="K78" i="14"/>
  <c r="L78" i="14"/>
  <c r="M78" i="14"/>
  <c r="N78" i="14"/>
  <c r="O78" i="14"/>
  <c r="P78" i="14"/>
  <c r="J79" i="14"/>
  <c r="K79" i="14"/>
  <c r="L79" i="14"/>
  <c r="M79" i="14"/>
  <c r="N79" i="14"/>
  <c r="O79" i="14"/>
  <c r="P79" i="14"/>
  <c r="J64" i="1"/>
  <c r="K64" i="1"/>
  <c r="L64" i="1"/>
  <c r="M64" i="1"/>
  <c r="N64" i="1"/>
  <c r="O64" i="1"/>
  <c r="P64" i="1"/>
  <c r="J155" i="1"/>
  <c r="K155" i="1" s="1"/>
  <c r="L155" i="1" s="1"/>
  <c r="M155" i="1" s="1"/>
  <c r="N155" i="1" s="1"/>
  <c r="O155" i="1" s="1"/>
  <c r="P155" i="1" s="1"/>
  <c r="J360" i="1"/>
  <c r="K360" i="1" s="1"/>
  <c r="L360" i="1" s="1"/>
  <c r="M360" i="1" s="1"/>
  <c r="N360" i="1" s="1"/>
  <c r="O360" i="1" s="1"/>
  <c r="P360" i="1" s="1"/>
  <c r="K581" i="16"/>
  <c r="L581" i="16"/>
  <c r="M581" i="16"/>
  <c r="N581" i="16"/>
  <c r="O581" i="16"/>
  <c r="P581" i="16"/>
  <c r="K505" i="16"/>
  <c r="L505" i="16"/>
  <c r="M505" i="16"/>
  <c r="N505" i="16"/>
  <c r="O505" i="16"/>
  <c r="P505" i="16"/>
  <c r="J369" i="16"/>
  <c r="J380" i="16" s="1"/>
  <c r="K369" i="16"/>
  <c r="K380" i="16" s="1"/>
  <c r="L369" i="16"/>
  <c r="L380" i="16" s="1"/>
  <c r="M369" i="16"/>
  <c r="M380" i="16" s="1"/>
  <c r="N369" i="16"/>
  <c r="N380" i="16" s="1"/>
  <c r="O369" i="16"/>
  <c r="O380" i="16" s="1"/>
  <c r="P369" i="16"/>
  <c r="P380" i="16" s="1"/>
  <c r="J379" i="16"/>
  <c r="K379" i="16"/>
  <c r="L379" i="16"/>
  <c r="M379" i="16"/>
  <c r="N379" i="16"/>
  <c r="O379" i="16"/>
  <c r="P379" i="16"/>
  <c r="J284" i="16"/>
  <c r="J352" i="16" s="1"/>
  <c r="K284" i="16"/>
  <c r="K352" i="16" s="1"/>
  <c r="L284" i="16"/>
  <c r="L293" i="16" s="1"/>
  <c r="L301" i="16" s="1"/>
  <c r="M284" i="16"/>
  <c r="M293" i="16" s="1"/>
  <c r="M301" i="16" s="1"/>
  <c r="N284" i="16"/>
  <c r="N355" i="16" s="1"/>
  <c r="O284" i="16"/>
  <c r="O355" i="16" s="1"/>
  <c r="P284" i="16"/>
  <c r="P293" i="16" s="1"/>
  <c r="P301" i="16" s="1"/>
  <c r="J184" i="16"/>
  <c r="K184" i="16"/>
  <c r="L184" i="16"/>
  <c r="M184" i="16"/>
  <c r="N184" i="16"/>
  <c r="O184" i="16"/>
  <c r="P184" i="16"/>
  <c r="J189" i="16"/>
  <c r="K189" i="16"/>
  <c r="L189" i="16"/>
  <c r="M189" i="16"/>
  <c r="N189" i="16"/>
  <c r="O189" i="16"/>
  <c r="P189" i="16"/>
  <c r="J111" i="16"/>
  <c r="K111" i="16"/>
  <c r="L111" i="16"/>
  <c r="M111" i="16"/>
  <c r="N111" i="16"/>
  <c r="O111" i="16"/>
  <c r="P111" i="16"/>
  <c r="J116" i="16"/>
  <c r="K116" i="16"/>
  <c r="L116" i="16" s="1"/>
  <c r="M116" i="16" s="1"/>
  <c r="N116" i="16" s="1"/>
  <c r="O116" i="16" s="1"/>
  <c r="P116" i="16" s="1"/>
  <c r="J38" i="16"/>
  <c r="K38" i="16"/>
  <c r="L38" i="16" s="1"/>
  <c r="M38" i="16" s="1"/>
  <c r="N38" i="16" s="1"/>
  <c r="O38" i="16" s="1"/>
  <c r="P38" i="16" s="1"/>
  <c r="J43" i="16"/>
  <c r="K43" i="16" s="1"/>
  <c r="L43" i="16" s="1"/>
  <c r="M43" i="16" s="1"/>
  <c r="N43" i="16" s="1"/>
  <c r="O43" i="16" s="1"/>
  <c r="P43" i="16" s="1"/>
  <c r="G40" i="26"/>
  <c r="F40" i="26"/>
  <c r="E40" i="26"/>
  <c r="G39" i="26"/>
  <c r="F39" i="26"/>
  <c r="E39" i="26"/>
  <c r="G38" i="26"/>
  <c r="F38" i="26"/>
  <c r="E38" i="26"/>
  <c r="G37" i="26"/>
  <c r="F37" i="26"/>
  <c r="E37" i="26"/>
  <c r="G36" i="26"/>
  <c r="F36" i="26"/>
  <c r="E36" i="26"/>
  <c r="G35" i="26"/>
  <c r="F35" i="26"/>
  <c r="E35" i="26"/>
  <c r="G34" i="26"/>
  <c r="F34" i="26"/>
  <c r="E34" i="26"/>
  <c r="G33" i="26"/>
  <c r="F33" i="26"/>
  <c r="E33" i="26"/>
  <c r="G32" i="26"/>
  <c r="F32" i="26"/>
  <c r="E32" i="26"/>
  <c r="G31" i="26"/>
  <c r="F31" i="26"/>
  <c r="E31" i="26"/>
  <c r="G30" i="26"/>
  <c r="F30" i="26"/>
  <c r="E30" i="26"/>
  <c r="G29" i="26"/>
  <c r="F29" i="26"/>
  <c r="E29" i="26"/>
  <c r="G28" i="26"/>
  <c r="F28" i="26"/>
  <c r="E28" i="26"/>
  <c r="G27" i="26"/>
  <c r="F27" i="26"/>
  <c r="E27" i="26"/>
  <c r="G26" i="26"/>
  <c r="F26" i="26"/>
  <c r="E26" i="26"/>
  <c r="G49" i="24"/>
  <c r="F49" i="24"/>
  <c r="E49" i="24"/>
  <c r="F420" i="1"/>
  <c r="F414" i="1"/>
  <c r="G414" i="1" s="1"/>
  <c r="F413" i="1"/>
  <c r="G413" i="1" s="1"/>
  <c r="F412" i="1"/>
  <c r="G412" i="1" s="1"/>
  <c r="F411" i="1"/>
  <c r="G411" i="1" s="1"/>
  <c r="F410" i="1"/>
  <c r="G410" i="1" s="1"/>
  <c r="F409" i="1"/>
  <c r="G409" i="1" s="1"/>
  <c r="F408" i="1"/>
  <c r="G408" i="1" s="1"/>
  <c r="F407" i="1"/>
  <c r="G407" i="1" s="1"/>
  <c r="F406" i="1"/>
  <c r="G406" i="1" s="1"/>
  <c r="F402" i="1"/>
  <c r="G402" i="1" s="1"/>
  <c r="F401" i="1"/>
  <c r="G401" i="1" s="1"/>
  <c r="F400" i="1"/>
  <c r="G400" i="1" s="1"/>
  <c r="F399" i="1"/>
  <c r="G399" i="1" s="1"/>
  <c r="F398" i="1"/>
  <c r="G398" i="1" s="1"/>
  <c r="F397" i="1"/>
  <c r="G397" i="1" s="1"/>
  <c r="F396" i="1"/>
  <c r="G396" i="1" s="1"/>
  <c r="F395" i="1"/>
  <c r="G395" i="1" s="1"/>
  <c r="F394" i="1"/>
  <c r="G394" i="1" s="1"/>
  <c r="F390" i="1"/>
  <c r="F389" i="1"/>
  <c r="F388" i="1"/>
  <c r="F387" i="1"/>
  <c r="F386" i="1"/>
  <c r="F385" i="1"/>
  <c r="F384" i="1"/>
  <c r="F383" i="1"/>
  <c r="F382" i="1"/>
  <c r="F378" i="1"/>
  <c r="G378" i="1" s="1"/>
  <c r="F377" i="1"/>
  <c r="G377" i="1" s="1"/>
  <c r="F376" i="1"/>
  <c r="G376" i="1" s="1"/>
  <c r="F375" i="1"/>
  <c r="G375" i="1" s="1"/>
  <c r="F374" i="1"/>
  <c r="G374" i="1" s="1"/>
  <c r="F373" i="1"/>
  <c r="G373" i="1" s="1"/>
  <c r="F372" i="1"/>
  <c r="G372" i="1" s="1"/>
  <c r="F371" i="1"/>
  <c r="G371" i="1" s="1"/>
  <c r="F370" i="1"/>
  <c r="G370" i="1" s="1"/>
  <c r="F363" i="1"/>
  <c r="G363" i="1" s="1"/>
  <c r="H363" i="1" s="1"/>
  <c r="I363" i="1" s="1"/>
  <c r="J363" i="1" s="1"/>
  <c r="K363" i="1" s="1"/>
  <c r="L363" i="1" s="1"/>
  <c r="M363" i="1" s="1"/>
  <c r="N363" i="1" s="1"/>
  <c r="O363" i="1" s="1"/>
  <c r="P363" i="1" s="1"/>
  <c r="F362" i="1"/>
  <c r="G362" i="1" s="1"/>
  <c r="H362" i="1" s="1"/>
  <c r="I362" i="1" s="1"/>
  <c r="J362" i="1" s="1"/>
  <c r="K362" i="1" s="1"/>
  <c r="L362" i="1" s="1"/>
  <c r="M362" i="1" s="1"/>
  <c r="N362" i="1" s="1"/>
  <c r="O362" i="1" s="1"/>
  <c r="P362" i="1" s="1"/>
  <c r="F361" i="1"/>
  <c r="G361" i="1" s="1"/>
  <c r="H361" i="1" s="1"/>
  <c r="I361" i="1" s="1"/>
  <c r="J361" i="1" s="1"/>
  <c r="K361" i="1" s="1"/>
  <c r="L361" i="1" s="1"/>
  <c r="M361" i="1" s="1"/>
  <c r="N361" i="1" s="1"/>
  <c r="O361" i="1" s="1"/>
  <c r="P361" i="1" s="1"/>
  <c r="F360" i="1"/>
  <c r="G360" i="1" s="1"/>
  <c r="H360" i="1" s="1"/>
  <c r="I360" i="1" s="1"/>
  <c r="F359" i="1"/>
  <c r="G359" i="1" s="1"/>
  <c r="H359" i="1" s="1"/>
  <c r="I359" i="1" s="1"/>
  <c r="J359" i="1" s="1"/>
  <c r="K359" i="1" s="1"/>
  <c r="L359" i="1" s="1"/>
  <c r="M359" i="1" s="1"/>
  <c r="N359" i="1" s="1"/>
  <c r="O359" i="1" s="1"/>
  <c r="P359" i="1" s="1"/>
  <c r="F358" i="1"/>
  <c r="G358" i="1" s="1"/>
  <c r="H358" i="1" s="1"/>
  <c r="I358" i="1" s="1"/>
  <c r="J358" i="1" s="1"/>
  <c r="K358" i="1" s="1"/>
  <c r="L358" i="1" s="1"/>
  <c r="M358" i="1" s="1"/>
  <c r="N358" i="1" s="1"/>
  <c r="O358" i="1" s="1"/>
  <c r="P358" i="1" s="1"/>
  <c r="F357" i="1"/>
  <c r="G357" i="1" s="1"/>
  <c r="H357" i="1" s="1"/>
  <c r="I357" i="1" s="1"/>
  <c r="J357" i="1" s="1"/>
  <c r="K357" i="1" s="1"/>
  <c r="L357" i="1" s="1"/>
  <c r="M357" i="1" s="1"/>
  <c r="N357" i="1" s="1"/>
  <c r="O357" i="1" s="1"/>
  <c r="P357" i="1" s="1"/>
  <c r="F356" i="1"/>
  <c r="G356" i="1" s="1"/>
  <c r="H356" i="1" s="1"/>
  <c r="I356" i="1" s="1"/>
  <c r="J356" i="1" s="1"/>
  <c r="K356" i="1" s="1"/>
  <c r="L356" i="1" s="1"/>
  <c r="M356" i="1" s="1"/>
  <c r="N356" i="1" s="1"/>
  <c r="O356" i="1" s="1"/>
  <c r="P356" i="1" s="1"/>
  <c r="F355" i="1"/>
  <c r="G355" i="1" s="1"/>
  <c r="H355" i="1" s="1"/>
  <c r="I355" i="1" s="1"/>
  <c r="J355" i="1" s="1"/>
  <c r="F351" i="1"/>
  <c r="G351" i="1" s="1"/>
  <c r="H351" i="1" s="1"/>
  <c r="I351" i="1" s="1"/>
  <c r="J351" i="1" s="1"/>
  <c r="K351" i="1" s="1"/>
  <c r="L351" i="1" s="1"/>
  <c r="M351" i="1" s="1"/>
  <c r="N351" i="1" s="1"/>
  <c r="O351" i="1" s="1"/>
  <c r="P351" i="1" s="1"/>
  <c r="F350" i="1"/>
  <c r="G350" i="1" s="1"/>
  <c r="H350" i="1" s="1"/>
  <c r="I350" i="1" s="1"/>
  <c r="J350" i="1" s="1"/>
  <c r="F349" i="1"/>
  <c r="G349" i="1" s="1"/>
  <c r="H349" i="1" s="1"/>
  <c r="I349" i="1" s="1"/>
  <c r="J349" i="1" s="1"/>
  <c r="K349" i="1" s="1"/>
  <c r="L349" i="1" s="1"/>
  <c r="M349" i="1" s="1"/>
  <c r="N349" i="1" s="1"/>
  <c r="O349" i="1" s="1"/>
  <c r="P349" i="1" s="1"/>
  <c r="F348" i="1"/>
  <c r="G348" i="1" s="1"/>
  <c r="H348" i="1" s="1"/>
  <c r="I348" i="1" s="1"/>
  <c r="J348" i="1" s="1"/>
  <c r="K348" i="1" s="1"/>
  <c r="F347" i="1"/>
  <c r="G347" i="1" s="1"/>
  <c r="H347" i="1" s="1"/>
  <c r="I347" i="1" s="1"/>
  <c r="J347" i="1" s="1"/>
  <c r="F346" i="1"/>
  <c r="G346" i="1" s="1"/>
  <c r="H346" i="1" s="1"/>
  <c r="I346" i="1" s="1"/>
  <c r="J346" i="1" s="1"/>
  <c r="F345" i="1"/>
  <c r="G345" i="1" s="1"/>
  <c r="H345" i="1" s="1"/>
  <c r="I345" i="1" s="1"/>
  <c r="J345" i="1" s="1"/>
  <c r="F344" i="1"/>
  <c r="G344" i="1" s="1"/>
  <c r="H344" i="1" s="1"/>
  <c r="I344" i="1" s="1"/>
  <c r="J344" i="1" s="1"/>
  <c r="F343" i="1"/>
  <c r="G343" i="1" s="1"/>
  <c r="H343" i="1" s="1"/>
  <c r="I343" i="1" s="1"/>
  <c r="J343" i="1" s="1"/>
  <c r="K343" i="1" s="1"/>
  <c r="F339" i="1"/>
  <c r="G339" i="1" s="1"/>
  <c r="H339" i="1" s="1"/>
  <c r="I339" i="1" s="1"/>
  <c r="J339" i="1" s="1"/>
  <c r="K339" i="1" s="1"/>
  <c r="L339" i="1" s="1"/>
  <c r="M339" i="1" s="1"/>
  <c r="N339" i="1" s="1"/>
  <c r="O339" i="1" s="1"/>
  <c r="P339" i="1" s="1"/>
  <c r="F338" i="1"/>
  <c r="G338" i="1" s="1"/>
  <c r="H338" i="1" s="1"/>
  <c r="I338" i="1" s="1"/>
  <c r="J338" i="1" s="1"/>
  <c r="K338" i="1" s="1"/>
  <c r="L338" i="1" s="1"/>
  <c r="M338" i="1" s="1"/>
  <c r="F337" i="1"/>
  <c r="G337" i="1" s="1"/>
  <c r="H337" i="1" s="1"/>
  <c r="I337" i="1" s="1"/>
  <c r="J337" i="1" s="1"/>
  <c r="K337" i="1" s="1"/>
  <c r="L337" i="1" s="1"/>
  <c r="M337" i="1" s="1"/>
  <c r="N337" i="1" s="1"/>
  <c r="O337" i="1" s="1"/>
  <c r="P337" i="1" s="1"/>
  <c r="F336" i="1"/>
  <c r="G336" i="1" s="1"/>
  <c r="H336" i="1" s="1"/>
  <c r="I336" i="1" s="1"/>
  <c r="J336" i="1" s="1"/>
  <c r="K336" i="1" s="1"/>
  <c r="L336" i="1" s="1"/>
  <c r="M336" i="1" s="1"/>
  <c r="N336" i="1" s="1"/>
  <c r="O336" i="1" s="1"/>
  <c r="P336" i="1" s="1"/>
  <c r="F335" i="1"/>
  <c r="G335" i="1" s="1"/>
  <c r="H335" i="1" s="1"/>
  <c r="I335" i="1" s="1"/>
  <c r="J335" i="1" s="1"/>
  <c r="K335" i="1" s="1"/>
  <c r="L335" i="1" s="1"/>
  <c r="M335" i="1" s="1"/>
  <c r="N335" i="1" s="1"/>
  <c r="O335" i="1" s="1"/>
  <c r="P335" i="1" s="1"/>
  <c r="F334" i="1"/>
  <c r="G334" i="1" s="1"/>
  <c r="H334" i="1" s="1"/>
  <c r="I334" i="1" s="1"/>
  <c r="J334" i="1" s="1"/>
  <c r="K334" i="1" s="1"/>
  <c r="L334" i="1" s="1"/>
  <c r="M334" i="1" s="1"/>
  <c r="N334" i="1" s="1"/>
  <c r="O334" i="1" s="1"/>
  <c r="P334" i="1" s="1"/>
  <c r="F333" i="1"/>
  <c r="G333" i="1" s="1"/>
  <c r="H333" i="1" s="1"/>
  <c r="I333" i="1" s="1"/>
  <c r="J333" i="1" s="1"/>
  <c r="K333" i="1" s="1"/>
  <c r="L333" i="1" s="1"/>
  <c r="M333" i="1" s="1"/>
  <c r="N333" i="1" s="1"/>
  <c r="O333" i="1" s="1"/>
  <c r="P333" i="1" s="1"/>
  <c r="F331" i="1"/>
  <c r="G331" i="1" s="1"/>
  <c r="H331" i="1" s="1"/>
  <c r="I331" i="1" s="1"/>
  <c r="J331" i="1" s="1"/>
  <c r="K331" i="1" s="1"/>
  <c r="L331" i="1" s="1"/>
  <c r="F327" i="1"/>
  <c r="G327" i="1" s="1"/>
  <c r="H327" i="1" s="1"/>
  <c r="I327" i="1" s="1"/>
  <c r="J327" i="1" s="1"/>
  <c r="K327" i="1" s="1"/>
  <c r="L327" i="1" s="1"/>
  <c r="F326" i="1"/>
  <c r="G326" i="1" s="1"/>
  <c r="H326" i="1" s="1"/>
  <c r="I326" i="1" s="1"/>
  <c r="J326" i="1" s="1"/>
  <c r="K326" i="1" s="1"/>
  <c r="L326" i="1" s="1"/>
  <c r="M326" i="1" s="1"/>
  <c r="N326" i="1" s="1"/>
  <c r="O326" i="1" s="1"/>
  <c r="F325" i="1"/>
  <c r="G325" i="1" s="1"/>
  <c r="H325" i="1" s="1"/>
  <c r="I325" i="1" s="1"/>
  <c r="J325" i="1" s="1"/>
  <c r="F324" i="1"/>
  <c r="G324" i="1" s="1"/>
  <c r="H324" i="1" s="1"/>
  <c r="I324" i="1" s="1"/>
  <c r="J324" i="1" s="1"/>
  <c r="K324" i="1" s="1"/>
  <c r="L324" i="1" s="1"/>
  <c r="M324" i="1" s="1"/>
  <c r="N324" i="1" s="1"/>
  <c r="O324" i="1" s="1"/>
  <c r="P324" i="1" s="1"/>
  <c r="F323" i="1"/>
  <c r="G323" i="1" s="1"/>
  <c r="H323" i="1" s="1"/>
  <c r="I323" i="1" s="1"/>
  <c r="J323" i="1" s="1"/>
  <c r="K323" i="1" s="1"/>
  <c r="L323" i="1" s="1"/>
  <c r="M323" i="1" s="1"/>
  <c r="N323" i="1" s="1"/>
  <c r="O323" i="1" s="1"/>
  <c r="F322" i="1"/>
  <c r="G322" i="1" s="1"/>
  <c r="H322" i="1" s="1"/>
  <c r="I322" i="1" s="1"/>
  <c r="J322" i="1" s="1"/>
  <c r="K322" i="1" s="1"/>
  <c r="F321" i="1"/>
  <c r="G321" i="1" s="1"/>
  <c r="H321" i="1" s="1"/>
  <c r="I321" i="1" s="1"/>
  <c r="J321" i="1" s="1"/>
  <c r="K321" i="1" s="1"/>
  <c r="L321" i="1" s="1"/>
  <c r="M321" i="1" s="1"/>
  <c r="N321" i="1" s="1"/>
  <c r="O321" i="1" s="1"/>
  <c r="P321" i="1" s="1"/>
  <c r="F320" i="1"/>
  <c r="G320" i="1" s="1"/>
  <c r="H320" i="1" s="1"/>
  <c r="I320" i="1" s="1"/>
  <c r="J320" i="1" s="1"/>
  <c r="K320" i="1" s="1"/>
  <c r="L320" i="1" s="1"/>
  <c r="M320" i="1" s="1"/>
  <c r="E303" i="1"/>
  <c r="E242" i="26" s="1"/>
  <c r="E296" i="1"/>
  <c r="E236" i="26" s="1"/>
  <c r="E295" i="1"/>
  <c r="E235" i="26" s="1"/>
  <c r="E294" i="1"/>
  <c r="E234" i="26" s="1"/>
  <c r="E293" i="1"/>
  <c r="E233" i="26" s="1"/>
  <c r="E292" i="1"/>
  <c r="E232" i="26" s="1"/>
  <c r="E291" i="1"/>
  <c r="E231" i="26" s="1"/>
  <c r="E287" i="1"/>
  <c r="E227" i="26" s="1"/>
  <c r="E286" i="1"/>
  <c r="E226" i="26" s="1"/>
  <c r="E285" i="1"/>
  <c r="E225" i="26" s="1"/>
  <c r="E284" i="1"/>
  <c r="E224" i="26" s="1"/>
  <c r="E283" i="1"/>
  <c r="E223" i="26" s="1"/>
  <c r="E282" i="1"/>
  <c r="E222" i="26" s="1"/>
  <c r="E278" i="1"/>
  <c r="E218" i="26" s="1"/>
  <c r="E277" i="1"/>
  <c r="E217" i="26" s="1"/>
  <c r="E276" i="1"/>
  <c r="E216" i="26" s="1"/>
  <c r="E275" i="1"/>
  <c r="E215" i="26" s="1"/>
  <c r="E274" i="1"/>
  <c r="E214" i="26" s="1"/>
  <c r="E273" i="1"/>
  <c r="E213" i="26" s="1"/>
  <c r="E269" i="1"/>
  <c r="E209" i="26" s="1"/>
  <c r="E268" i="1"/>
  <c r="E208" i="26" s="1"/>
  <c r="E267" i="1"/>
  <c r="E207" i="26" s="1"/>
  <c r="E266" i="1"/>
  <c r="E206" i="26" s="1"/>
  <c r="E265" i="1"/>
  <c r="E205" i="26" s="1"/>
  <c r="E264" i="1"/>
  <c r="E204" i="26" s="1"/>
  <c r="E263" i="1"/>
  <c r="E203" i="26" s="1"/>
  <c r="E256" i="1"/>
  <c r="E196" i="26" s="1"/>
  <c r="E255" i="1"/>
  <c r="E195" i="26" s="1"/>
  <c r="E254" i="1"/>
  <c r="E194" i="26" s="1"/>
  <c r="E253" i="1"/>
  <c r="E193" i="26" s="1"/>
  <c r="E252" i="1"/>
  <c r="E192" i="26" s="1"/>
  <c r="E251" i="1"/>
  <c r="E191" i="26" s="1"/>
  <c r="E247" i="1"/>
  <c r="E187" i="26" s="1"/>
  <c r="E246" i="1"/>
  <c r="E186" i="26" s="1"/>
  <c r="E245" i="1"/>
  <c r="E185" i="26" s="1"/>
  <c r="E244" i="1"/>
  <c r="E184" i="26" s="1"/>
  <c r="E243" i="1"/>
  <c r="E183" i="26" s="1"/>
  <c r="E242" i="1"/>
  <c r="E182" i="26" s="1"/>
  <c r="E238" i="1"/>
  <c r="E178" i="26" s="1"/>
  <c r="E237" i="1"/>
  <c r="E177" i="26" s="1"/>
  <c r="E236" i="1"/>
  <c r="E176" i="26" s="1"/>
  <c r="E235" i="1"/>
  <c r="E175" i="26" s="1"/>
  <c r="E234" i="1"/>
  <c r="E174" i="26" s="1"/>
  <c r="E233" i="1"/>
  <c r="E173" i="26" s="1"/>
  <c r="E229" i="1"/>
  <c r="E169" i="26" s="1"/>
  <c r="E228" i="1"/>
  <c r="E168" i="26" s="1"/>
  <c r="E227" i="1"/>
  <c r="E167" i="26" s="1"/>
  <c r="E226" i="1"/>
  <c r="E166" i="26" s="1"/>
  <c r="E225" i="1"/>
  <c r="E165" i="26" s="1"/>
  <c r="E224" i="1"/>
  <c r="E164" i="26" s="1"/>
  <c r="E223" i="1"/>
  <c r="E163" i="26" s="1"/>
  <c r="F210" i="1"/>
  <c r="G210" i="1" s="1"/>
  <c r="H210" i="1" s="1"/>
  <c r="I210" i="1" s="1"/>
  <c r="J210" i="1" s="1"/>
  <c r="K210" i="1" s="1"/>
  <c r="L210" i="1" s="1"/>
  <c r="M210" i="1" s="1"/>
  <c r="N210" i="1" s="1"/>
  <c r="O210" i="1" s="1"/>
  <c r="P210" i="1" s="1"/>
  <c r="F205" i="1"/>
  <c r="G205" i="1" s="1"/>
  <c r="H205" i="1" s="1"/>
  <c r="I205" i="1" s="1"/>
  <c r="J205" i="1" s="1"/>
  <c r="K205" i="1" s="1"/>
  <c r="L205" i="1" s="1"/>
  <c r="M205" i="1" s="1"/>
  <c r="N205" i="1" s="1"/>
  <c r="O205" i="1" s="1"/>
  <c r="P205" i="1" s="1"/>
  <c r="F204" i="1"/>
  <c r="G204" i="1" s="1"/>
  <c r="H204" i="1" s="1"/>
  <c r="I204" i="1" s="1"/>
  <c r="J204" i="1" s="1"/>
  <c r="K204" i="1" s="1"/>
  <c r="L204" i="1" s="1"/>
  <c r="M204" i="1" s="1"/>
  <c r="N204" i="1" s="1"/>
  <c r="O204" i="1" s="1"/>
  <c r="P204" i="1" s="1"/>
  <c r="F203" i="1"/>
  <c r="G203" i="1" s="1"/>
  <c r="H203" i="1" s="1"/>
  <c r="I203" i="1" s="1"/>
  <c r="J203" i="1" s="1"/>
  <c r="K203" i="1" s="1"/>
  <c r="L203" i="1" s="1"/>
  <c r="M203" i="1" s="1"/>
  <c r="N203" i="1" s="1"/>
  <c r="O203" i="1" s="1"/>
  <c r="P203" i="1" s="1"/>
  <c r="F202" i="1"/>
  <c r="G202" i="1" s="1"/>
  <c r="H202" i="1" s="1"/>
  <c r="I202" i="1" s="1"/>
  <c r="J202" i="1" s="1"/>
  <c r="K202" i="1" s="1"/>
  <c r="L202" i="1" s="1"/>
  <c r="M202" i="1" s="1"/>
  <c r="N202" i="1" s="1"/>
  <c r="O202" i="1" s="1"/>
  <c r="P202" i="1" s="1"/>
  <c r="F201" i="1"/>
  <c r="G201" i="1" s="1"/>
  <c r="H201" i="1" s="1"/>
  <c r="I201" i="1" s="1"/>
  <c r="J201" i="1" s="1"/>
  <c r="K201" i="1" s="1"/>
  <c r="L201" i="1" s="1"/>
  <c r="M201" i="1" s="1"/>
  <c r="N201" i="1" s="1"/>
  <c r="O201" i="1" s="1"/>
  <c r="P201" i="1" s="1"/>
  <c r="F200" i="1"/>
  <c r="G200" i="1" s="1"/>
  <c r="H200" i="1" s="1"/>
  <c r="F196" i="1"/>
  <c r="G196" i="1" s="1"/>
  <c r="H196" i="1" s="1"/>
  <c r="I196" i="1" s="1"/>
  <c r="J196" i="1" s="1"/>
  <c r="K196" i="1" s="1"/>
  <c r="L196" i="1" s="1"/>
  <c r="M196" i="1" s="1"/>
  <c r="N196" i="1" s="1"/>
  <c r="O196" i="1" s="1"/>
  <c r="P196" i="1" s="1"/>
  <c r="F195" i="1"/>
  <c r="G195" i="1" s="1"/>
  <c r="H195" i="1" s="1"/>
  <c r="I195" i="1" s="1"/>
  <c r="J195" i="1" s="1"/>
  <c r="K195" i="1" s="1"/>
  <c r="L195" i="1" s="1"/>
  <c r="M195" i="1" s="1"/>
  <c r="N195" i="1" s="1"/>
  <c r="O195" i="1" s="1"/>
  <c r="P195" i="1" s="1"/>
  <c r="F194" i="1"/>
  <c r="G194" i="1" s="1"/>
  <c r="H194" i="1" s="1"/>
  <c r="I194" i="1" s="1"/>
  <c r="J194" i="1" s="1"/>
  <c r="K194" i="1" s="1"/>
  <c r="L194" i="1" s="1"/>
  <c r="M194" i="1" s="1"/>
  <c r="N194" i="1" s="1"/>
  <c r="O194" i="1" s="1"/>
  <c r="P194" i="1" s="1"/>
  <c r="F193" i="1"/>
  <c r="G193" i="1" s="1"/>
  <c r="H193" i="1" s="1"/>
  <c r="I193" i="1" s="1"/>
  <c r="J193" i="1" s="1"/>
  <c r="K193" i="1" s="1"/>
  <c r="L193" i="1" s="1"/>
  <c r="M193" i="1" s="1"/>
  <c r="N193" i="1" s="1"/>
  <c r="O193" i="1" s="1"/>
  <c r="P193" i="1" s="1"/>
  <c r="F192" i="1"/>
  <c r="G192" i="1" s="1"/>
  <c r="F191" i="1"/>
  <c r="G191" i="1" s="1"/>
  <c r="H191" i="1" s="1"/>
  <c r="F187" i="1"/>
  <c r="G187" i="1" s="1"/>
  <c r="H187" i="1" s="1"/>
  <c r="I187" i="1" s="1"/>
  <c r="J187" i="1" s="1"/>
  <c r="K187" i="1" s="1"/>
  <c r="L187" i="1" s="1"/>
  <c r="M187" i="1" s="1"/>
  <c r="N187" i="1" s="1"/>
  <c r="O187" i="1" s="1"/>
  <c r="P187" i="1" s="1"/>
  <c r="F186" i="1"/>
  <c r="G186" i="1" s="1"/>
  <c r="H186" i="1" s="1"/>
  <c r="I186" i="1" s="1"/>
  <c r="J186" i="1" s="1"/>
  <c r="K186" i="1" s="1"/>
  <c r="L186" i="1" s="1"/>
  <c r="M186" i="1" s="1"/>
  <c r="N186" i="1" s="1"/>
  <c r="O186" i="1" s="1"/>
  <c r="P186" i="1" s="1"/>
  <c r="F185" i="1"/>
  <c r="G185" i="1" s="1"/>
  <c r="H185" i="1" s="1"/>
  <c r="I185" i="1" s="1"/>
  <c r="J185" i="1" s="1"/>
  <c r="K185" i="1" s="1"/>
  <c r="L185" i="1" s="1"/>
  <c r="M185" i="1" s="1"/>
  <c r="N185" i="1" s="1"/>
  <c r="O185" i="1" s="1"/>
  <c r="P185" i="1" s="1"/>
  <c r="F184" i="1"/>
  <c r="G184" i="1" s="1"/>
  <c r="H184" i="1" s="1"/>
  <c r="I184" i="1" s="1"/>
  <c r="J184" i="1" s="1"/>
  <c r="K184" i="1" s="1"/>
  <c r="L184" i="1" s="1"/>
  <c r="M184" i="1" s="1"/>
  <c r="N184" i="1" s="1"/>
  <c r="O184" i="1" s="1"/>
  <c r="P184" i="1" s="1"/>
  <c r="F183" i="1"/>
  <c r="G183" i="1" s="1"/>
  <c r="F182" i="1"/>
  <c r="G182" i="1" s="1"/>
  <c r="H182" i="1" s="1"/>
  <c r="F178" i="1"/>
  <c r="G178" i="1" s="1"/>
  <c r="H178" i="1" s="1"/>
  <c r="I178" i="1" s="1"/>
  <c r="J178" i="1" s="1"/>
  <c r="K178" i="1" s="1"/>
  <c r="L178" i="1" s="1"/>
  <c r="M178" i="1" s="1"/>
  <c r="N178" i="1" s="1"/>
  <c r="O178" i="1" s="1"/>
  <c r="P178" i="1" s="1"/>
  <c r="F177" i="1"/>
  <c r="G177" i="1" s="1"/>
  <c r="H177" i="1" s="1"/>
  <c r="I177" i="1" s="1"/>
  <c r="J177" i="1" s="1"/>
  <c r="K177" i="1" s="1"/>
  <c r="L177" i="1" s="1"/>
  <c r="M177" i="1" s="1"/>
  <c r="N177" i="1" s="1"/>
  <c r="O177" i="1" s="1"/>
  <c r="P177" i="1" s="1"/>
  <c r="F176" i="1"/>
  <c r="G176" i="1" s="1"/>
  <c r="H176" i="1" s="1"/>
  <c r="I176" i="1" s="1"/>
  <c r="J176" i="1" s="1"/>
  <c r="K176" i="1" s="1"/>
  <c r="L176" i="1" s="1"/>
  <c r="M176" i="1" s="1"/>
  <c r="N176" i="1" s="1"/>
  <c r="O176" i="1" s="1"/>
  <c r="P176" i="1" s="1"/>
  <c r="F175" i="1"/>
  <c r="G175" i="1" s="1"/>
  <c r="H175" i="1" s="1"/>
  <c r="I175" i="1" s="1"/>
  <c r="J175" i="1" s="1"/>
  <c r="K175" i="1" s="1"/>
  <c r="L175" i="1" s="1"/>
  <c r="M175" i="1" s="1"/>
  <c r="N175" i="1" s="1"/>
  <c r="O175" i="1" s="1"/>
  <c r="P175" i="1" s="1"/>
  <c r="F174" i="1"/>
  <c r="G174" i="1" s="1"/>
  <c r="H174" i="1" s="1"/>
  <c r="I174" i="1" s="1"/>
  <c r="J174" i="1" s="1"/>
  <c r="K174" i="1" s="1"/>
  <c r="L174" i="1" s="1"/>
  <c r="M174" i="1" s="1"/>
  <c r="N174" i="1" s="1"/>
  <c r="O174" i="1" s="1"/>
  <c r="P174" i="1" s="1"/>
  <c r="F173" i="1"/>
  <c r="G173" i="1" s="1"/>
  <c r="H173" i="1" s="1"/>
  <c r="I173" i="1" s="1"/>
  <c r="J173" i="1" s="1"/>
  <c r="K173" i="1" s="1"/>
  <c r="L173" i="1" s="1"/>
  <c r="M173" i="1" s="1"/>
  <c r="N173" i="1" s="1"/>
  <c r="O173" i="1" s="1"/>
  <c r="P173" i="1" s="1"/>
  <c r="F172" i="1"/>
  <c r="G172" i="1" s="1"/>
  <c r="F167" i="1"/>
  <c r="G167" i="1" s="1"/>
  <c r="H167" i="1" s="1"/>
  <c r="I167" i="1" s="1"/>
  <c r="J167" i="1" s="1"/>
  <c r="F166" i="1"/>
  <c r="G166" i="1" s="1"/>
  <c r="F165" i="1"/>
  <c r="F164" i="1"/>
  <c r="G164" i="1" s="1"/>
  <c r="H164" i="1" s="1"/>
  <c r="I164" i="1" s="1"/>
  <c r="J164" i="1" s="1"/>
  <c r="K164" i="1" s="1"/>
  <c r="F163" i="1"/>
  <c r="G163" i="1" s="1"/>
  <c r="H163" i="1" s="1"/>
  <c r="I163" i="1" s="1"/>
  <c r="J163" i="1" s="1"/>
  <c r="J252" i="1" s="1"/>
  <c r="J192" i="26" s="1"/>
  <c r="F162" i="1"/>
  <c r="G162" i="1" s="1"/>
  <c r="H162" i="1" s="1"/>
  <c r="I162" i="1" s="1"/>
  <c r="J162" i="1" s="1"/>
  <c r="J251" i="1" s="1"/>
  <c r="F158" i="1"/>
  <c r="G158" i="1" s="1"/>
  <c r="H158" i="1" s="1"/>
  <c r="I158" i="1" s="1"/>
  <c r="J158" i="1" s="1"/>
  <c r="K158" i="1" s="1"/>
  <c r="L158" i="1" s="1"/>
  <c r="M158" i="1" s="1"/>
  <c r="N158" i="1" s="1"/>
  <c r="O158" i="1" s="1"/>
  <c r="P158" i="1" s="1"/>
  <c r="F157" i="1"/>
  <c r="G157" i="1" s="1"/>
  <c r="H157" i="1" s="1"/>
  <c r="I157" i="1" s="1"/>
  <c r="J157" i="1" s="1"/>
  <c r="F156" i="1"/>
  <c r="G156" i="1" s="1"/>
  <c r="H156" i="1" s="1"/>
  <c r="I156" i="1" s="1"/>
  <c r="J156" i="1" s="1"/>
  <c r="K156" i="1" s="1"/>
  <c r="L156" i="1" s="1"/>
  <c r="M156" i="1" s="1"/>
  <c r="N156" i="1" s="1"/>
  <c r="O156" i="1" s="1"/>
  <c r="P156" i="1" s="1"/>
  <c r="F155" i="1"/>
  <c r="G155" i="1" s="1"/>
  <c r="H155" i="1" s="1"/>
  <c r="I155" i="1" s="1"/>
  <c r="F154" i="1"/>
  <c r="G154" i="1" s="1"/>
  <c r="H154" i="1" s="1"/>
  <c r="I154" i="1" s="1"/>
  <c r="J154" i="1" s="1"/>
  <c r="K154" i="1" s="1"/>
  <c r="L154" i="1" s="1"/>
  <c r="M154" i="1" s="1"/>
  <c r="N154" i="1" s="1"/>
  <c r="O154" i="1" s="1"/>
  <c r="P154" i="1" s="1"/>
  <c r="F153" i="1"/>
  <c r="G153" i="1" s="1"/>
  <c r="H153" i="1" s="1"/>
  <c r="I153" i="1" s="1"/>
  <c r="J153" i="1" s="1"/>
  <c r="K153" i="1" s="1"/>
  <c r="F149" i="1"/>
  <c r="G149" i="1" s="1"/>
  <c r="H149" i="1" s="1"/>
  <c r="I149" i="1" s="1"/>
  <c r="J149" i="1" s="1"/>
  <c r="K149" i="1" s="1"/>
  <c r="L149" i="1" s="1"/>
  <c r="M149" i="1" s="1"/>
  <c r="N149" i="1" s="1"/>
  <c r="O149" i="1" s="1"/>
  <c r="P149" i="1" s="1"/>
  <c r="F148" i="1"/>
  <c r="G148" i="1" s="1"/>
  <c r="H148" i="1" s="1"/>
  <c r="I148" i="1" s="1"/>
  <c r="J148" i="1" s="1"/>
  <c r="K148" i="1" s="1"/>
  <c r="L148" i="1" s="1"/>
  <c r="M148" i="1" s="1"/>
  <c r="N148" i="1" s="1"/>
  <c r="O148" i="1" s="1"/>
  <c r="P148" i="1" s="1"/>
  <c r="F147" i="1"/>
  <c r="G147" i="1" s="1"/>
  <c r="H147" i="1" s="1"/>
  <c r="I147" i="1" s="1"/>
  <c r="J147" i="1" s="1"/>
  <c r="F146" i="1"/>
  <c r="G146" i="1" s="1"/>
  <c r="H146" i="1" s="1"/>
  <c r="I146" i="1" s="1"/>
  <c r="J146" i="1" s="1"/>
  <c r="K146" i="1" s="1"/>
  <c r="L146" i="1" s="1"/>
  <c r="M146" i="1" s="1"/>
  <c r="N146" i="1" s="1"/>
  <c r="O146" i="1" s="1"/>
  <c r="P146" i="1" s="1"/>
  <c r="F145" i="1"/>
  <c r="G145" i="1" s="1"/>
  <c r="H145" i="1" s="1"/>
  <c r="I145" i="1" s="1"/>
  <c r="J145" i="1" s="1"/>
  <c r="K145" i="1" s="1"/>
  <c r="L145" i="1" s="1"/>
  <c r="M145" i="1" s="1"/>
  <c r="N145" i="1" s="1"/>
  <c r="O145" i="1" s="1"/>
  <c r="P145" i="1" s="1"/>
  <c r="F144" i="1"/>
  <c r="G144" i="1" s="1"/>
  <c r="H144" i="1" s="1"/>
  <c r="I144" i="1" s="1"/>
  <c r="J144" i="1" s="1"/>
  <c r="K144" i="1" s="1"/>
  <c r="L144" i="1" s="1"/>
  <c r="M144" i="1" s="1"/>
  <c r="N144" i="1" s="1"/>
  <c r="O144" i="1" s="1"/>
  <c r="F140" i="1"/>
  <c r="G140" i="1" s="1"/>
  <c r="H140" i="1" s="1"/>
  <c r="I140" i="1" s="1"/>
  <c r="J140" i="1" s="1"/>
  <c r="K140" i="1" s="1"/>
  <c r="L140" i="1" s="1"/>
  <c r="M140" i="1" s="1"/>
  <c r="N140" i="1" s="1"/>
  <c r="O140" i="1" s="1"/>
  <c r="P140" i="1" s="1"/>
  <c r="F139" i="1"/>
  <c r="G139" i="1" s="1"/>
  <c r="H139" i="1" s="1"/>
  <c r="I139" i="1" s="1"/>
  <c r="J139" i="1" s="1"/>
  <c r="K139" i="1" s="1"/>
  <c r="L139" i="1" s="1"/>
  <c r="M139" i="1" s="1"/>
  <c r="N139" i="1" s="1"/>
  <c r="O139" i="1" s="1"/>
  <c r="P139" i="1" s="1"/>
  <c r="F138" i="1"/>
  <c r="G138" i="1" s="1"/>
  <c r="H138" i="1" s="1"/>
  <c r="I138" i="1" s="1"/>
  <c r="J138" i="1" s="1"/>
  <c r="F137" i="1"/>
  <c r="G137" i="1" s="1"/>
  <c r="H137" i="1" s="1"/>
  <c r="I137" i="1" s="1"/>
  <c r="J137" i="1" s="1"/>
  <c r="K137" i="1" s="1"/>
  <c r="L137" i="1" s="1"/>
  <c r="M137" i="1" s="1"/>
  <c r="N137" i="1" s="1"/>
  <c r="O137" i="1" s="1"/>
  <c r="P137" i="1" s="1"/>
  <c r="F136" i="1"/>
  <c r="G136" i="1" s="1"/>
  <c r="H136" i="1" s="1"/>
  <c r="I136" i="1" s="1"/>
  <c r="J136" i="1" s="1"/>
  <c r="K136" i="1" s="1"/>
  <c r="L136" i="1" s="1"/>
  <c r="M136" i="1" s="1"/>
  <c r="N136" i="1" s="1"/>
  <c r="O136" i="1" s="1"/>
  <c r="P136" i="1" s="1"/>
  <c r="F135" i="1"/>
  <c r="G135" i="1" s="1"/>
  <c r="H135" i="1" s="1"/>
  <c r="I135" i="1" s="1"/>
  <c r="J135" i="1" s="1"/>
  <c r="K135" i="1" s="1"/>
  <c r="L135" i="1" s="1"/>
  <c r="M135" i="1" s="1"/>
  <c r="N135" i="1" s="1"/>
  <c r="O135" i="1" s="1"/>
  <c r="P135" i="1" s="1"/>
  <c r="F134" i="1"/>
  <c r="G134" i="1" s="1"/>
  <c r="H134" i="1" s="1"/>
  <c r="I134" i="1" s="1"/>
  <c r="J134" i="1" s="1"/>
  <c r="K134" i="1" s="1"/>
  <c r="E130" i="1"/>
  <c r="I64" i="1"/>
  <c r="H64" i="1"/>
  <c r="G64" i="1"/>
  <c r="F64" i="1"/>
  <c r="E64" i="1"/>
  <c r="F11" i="1"/>
  <c r="F10" i="1"/>
  <c r="G10" i="1" s="1"/>
  <c r="H10" i="1" s="1"/>
  <c r="I10" i="1" s="1"/>
  <c r="J10" i="1" s="1"/>
  <c r="F9" i="1"/>
  <c r="G9" i="1" s="1"/>
  <c r="R507" i="16"/>
  <c r="T507" i="16"/>
  <c r="Y507" i="16"/>
  <c r="R508" i="16"/>
  <c r="T508" i="16"/>
  <c r="Y508" i="16"/>
  <c r="R509" i="16"/>
  <c r="T509" i="16"/>
  <c r="Y509" i="16"/>
  <c r="R510" i="16"/>
  <c r="T510" i="16"/>
  <c r="Y510" i="16"/>
  <c r="R511" i="16"/>
  <c r="T511" i="16"/>
  <c r="Y511" i="16"/>
  <c r="R512" i="16"/>
  <c r="T512" i="16"/>
  <c r="Y512" i="16"/>
  <c r="R513" i="16"/>
  <c r="T513" i="16"/>
  <c r="Y513" i="16"/>
  <c r="R514" i="16"/>
  <c r="T514" i="16"/>
  <c r="Y514" i="16"/>
  <c r="R515" i="16"/>
  <c r="T515" i="16"/>
  <c r="Y515" i="16"/>
  <c r="R516" i="16"/>
  <c r="T516" i="16"/>
  <c r="Y516" i="16"/>
  <c r="R517" i="16"/>
  <c r="T517" i="16"/>
  <c r="Y517" i="16"/>
  <c r="R518" i="16"/>
  <c r="T518" i="16"/>
  <c r="Y518" i="16"/>
  <c r="R519" i="16"/>
  <c r="T519" i="16"/>
  <c r="Y519" i="16"/>
  <c r="R520" i="16"/>
  <c r="T520" i="16"/>
  <c r="Y520" i="16"/>
  <c r="R521" i="16"/>
  <c r="T521" i="16"/>
  <c r="Y521" i="16"/>
  <c r="R522" i="16"/>
  <c r="T522" i="16"/>
  <c r="Y522" i="16"/>
  <c r="R523" i="16"/>
  <c r="T523" i="16"/>
  <c r="Y523" i="16"/>
  <c r="R524" i="16"/>
  <c r="T524" i="16"/>
  <c r="Y524" i="16"/>
  <c r="R525" i="16"/>
  <c r="T525" i="16"/>
  <c r="Y525" i="16"/>
  <c r="R526" i="16"/>
  <c r="T526" i="16"/>
  <c r="Y526" i="16"/>
  <c r="R527" i="16"/>
  <c r="T527" i="16"/>
  <c r="Y527" i="16"/>
  <c r="R528" i="16"/>
  <c r="T528" i="16"/>
  <c r="Y528" i="16"/>
  <c r="R529" i="16"/>
  <c r="T529" i="16"/>
  <c r="Y529" i="16"/>
  <c r="R530" i="16"/>
  <c r="T530" i="16"/>
  <c r="Y530" i="16"/>
  <c r="R531" i="16"/>
  <c r="T531" i="16"/>
  <c r="Y531" i="16"/>
  <c r="R532" i="16"/>
  <c r="T532" i="16"/>
  <c r="Y532" i="16"/>
  <c r="E88" i="16"/>
  <c r="F88" i="16"/>
  <c r="G88" i="16"/>
  <c r="S54" i="28"/>
  <c r="S55" i="28"/>
  <c r="S56" i="28"/>
  <c r="S31" i="28"/>
  <c r="S37" i="28"/>
  <c r="S38" i="28"/>
  <c r="S18" i="28"/>
  <c r="S19" i="28"/>
  <c r="S20" i="28"/>
  <c r="H8" i="28"/>
  <c r="H162" i="28"/>
  <c r="H44" i="28" s="1"/>
  <c r="H144" i="28"/>
  <c r="H26" i="28" s="1"/>
  <c r="H128" i="28"/>
  <c r="H145" i="28" s="1"/>
  <c r="H27" i="28" s="1"/>
  <c r="I127" i="28"/>
  <c r="I162" i="28" s="1"/>
  <c r="E124" i="28"/>
  <c r="E98" i="28"/>
  <c r="E71" i="28"/>
  <c r="S57" i="28"/>
  <c r="S39" i="28"/>
  <c r="S21" i="28"/>
  <c r="S58" i="28"/>
  <c r="S53" i="28"/>
  <c r="S47" i="28"/>
  <c r="S46" i="28"/>
  <c r="S45" i="28"/>
  <c r="S44" i="28"/>
  <c r="S40" i="28"/>
  <c r="S30" i="28"/>
  <c r="S29" i="28"/>
  <c r="S28" i="28"/>
  <c r="S27" i="28"/>
  <c r="S26" i="28"/>
  <c r="S22" i="28"/>
  <c r="S12" i="28"/>
  <c r="S11" i="28"/>
  <c r="S10" i="28"/>
  <c r="S8" i="28"/>
  <c r="S9" i="28"/>
  <c r="G284" i="16"/>
  <c r="I379" i="16"/>
  <c r="H379" i="16"/>
  <c r="I284" i="16"/>
  <c r="I293" i="16" s="1"/>
  <c r="I301" i="16" s="1"/>
  <c r="H284" i="16"/>
  <c r="H293" i="16" s="1"/>
  <c r="H301" i="16" s="1"/>
  <c r="L51" i="28" l="1"/>
  <c r="K81" i="28"/>
  <c r="K108" i="28"/>
  <c r="M36" i="28"/>
  <c r="L84" i="28"/>
  <c r="L111" i="28"/>
  <c r="L35" i="28"/>
  <c r="K83" i="28"/>
  <c r="K110" i="28"/>
  <c r="M30" i="28"/>
  <c r="L78" i="28"/>
  <c r="L105" i="28"/>
  <c r="M31" i="28"/>
  <c r="L79" i="28"/>
  <c r="L106" i="28"/>
  <c r="M32" i="28"/>
  <c r="L80" i="28"/>
  <c r="L107" i="28"/>
  <c r="M34" i="28"/>
  <c r="L82" i="28"/>
  <c r="L109" i="28"/>
  <c r="O33" i="28"/>
  <c r="H74" i="28"/>
  <c r="H101" i="28"/>
  <c r="J253" i="1"/>
  <c r="J193" i="26" s="1"/>
  <c r="E95" i="16"/>
  <c r="J127" i="28"/>
  <c r="K127" i="28" s="1"/>
  <c r="G161" i="16"/>
  <c r="F95" i="16"/>
  <c r="E161" i="16"/>
  <c r="G293" i="16"/>
  <c r="G301" i="16" s="1"/>
  <c r="G328" i="16"/>
  <c r="H328" i="16" s="1"/>
  <c r="I328" i="16" s="1"/>
  <c r="J328" i="16" s="1"/>
  <c r="K328" i="16" s="1"/>
  <c r="L328" i="16" s="1"/>
  <c r="M328" i="16" s="1"/>
  <c r="N328" i="16" s="1"/>
  <c r="O328" i="16" s="1"/>
  <c r="P328" i="16" s="1"/>
  <c r="G319" i="16"/>
  <c r="H319" i="16" s="1"/>
  <c r="I319" i="16" s="1"/>
  <c r="J319" i="16" s="1"/>
  <c r="K319" i="16" s="1"/>
  <c r="L319" i="16" s="1"/>
  <c r="M319" i="16" s="1"/>
  <c r="N319" i="16" s="1"/>
  <c r="O319" i="16" s="1"/>
  <c r="P319" i="16" s="1"/>
  <c r="G329" i="16"/>
  <c r="H329" i="16" s="1"/>
  <c r="I329" i="16" s="1"/>
  <c r="J329" i="16" s="1"/>
  <c r="K329" i="16" s="1"/>
  <c r="L329" i="16" s="1"/>
  <c r="M329" i="16" s="1"/>
  <c r="N329" i="16" s="1"/>
  <c r="O329" i="16" s="1"/>
  <c r="P329" i="16" s="1"/>
  <c r="G320" i="16"/>
  <c r="H320" i="16" s="1"/>
  <c r="I320" i="16" s="1"/>
  <c r="J320" i="16" s="1"/>
  <c r="K320" i="16" s="1"/>
  <c r="L320" i="16" s="1"/>
  <c r="M320" i="16" s="1"/>
  <c r="N320" i="16" s="1"/>
  <c r="O320" i="16" s="1"/>
  <c r="P320" i="16" s="1"/>
  <c r="P309" i="16"/>
  <c r="I34" i="24"/>
  <c r="G11" i="1"/>
  <c r="F72" i="1"/>
  <c r="P352" i="16"/>
  <c r="N309" i="16"/>
  <c r="M309" i="16"/>
  <c r="L352" i="16"/>
  <c r="K293" i="16"/>
  <c r="K301" i="16" s="1"/>
  <c r="K355" i="16"/>
  <c r="P599" i="16"/>
  <c r="K163" i="1"/>
  <c r="K167" i="1"/>
  <c r="J256" i="1"/>
  <c r="J196" i="26" s="1"/>
  <c r="H9" i="1"/>
  <c r="I9" i="1" s="1"/>
  <c r="I251" i="1"/>
  <c r="N599" i="16"/>
  <c r="O599" i="16"/>
  <c r="M599" i="16"/>
  <c r="L599" i="16"/>
  <c r="K599" i="16"/>
  <c r="F66" i="26"/>
  <c r="F55" i="26"/>
  <c r="K347" i="1"/>
  <c r="L347" i="1" s="1"/>
  <c r="M347" i="1" s="1"/>
  <c r="N347" i="1" s="1"/>
  <c r="O347" i="1" s="1"/>
  <c r="P347" i="1" s="1"/>
  <c r="K346" i="1"/>
  <c r="L346" i="1" s="1"/>
  <c r="M346" i="1" s="1"/>
  <c r="N346" i="1" s="1"/>
  <c r="O346" i="1" s="1"/>
  <c r="P346" i="1" s="1"/>
  <c r="K344" i="1"/>
  <c r="L344" i="1" s="1"/>
  <c r="M344" i="1" s="1"/>
  <c r="N344" i="1" s="1"/>
  <c r="O344" i="1" s="1"/>
  <c r="P344" i="1" s="1"/>
  <c r="P355" i="16"/>
  <c r="O309" i="16"/>
  <c r="O352" i="16"/>
  <c r="O293" i="16"/>
  <c r="O301" i="16" s="1"/>
  <c r="N352" i="16"/>
  <c r="M355" i="16"/>
  <c r="M352" i="16"/>
  <c r="L309" i="16"/>
  <c r="L355" i="16"/>
  <c r="K309" i="16"/>
  <c r="M19" i="3"/>
  <c r="M33" i="3"/>
  <c r="P19" i="3"/>
  <c r="O19" i="3"/>
  <c r="N19" i="3"/>
  <c r="L19" i="3"/>
  <c r="K19" i="3"/>
  <c r="J19" i="3"/>
  <c r="L33" i="3"/>
  <c r="K33" i="3"/>
  <c r="J33" i="3"/>
  <c r="P33" i="3"/>
  <c r="O33" i="3"/>
  <c r="N33" i="3"/>
  <c r="M327" i="1"/>
  <c r="N320" i="1"/>
  <c r="K350" i="1"/>
  <c r="N338" i="1"/>
  <c r="P326" i="1"/>
  <c r="P323" i="1"/>
  <c r="K147" i="1"/>
  <c r="L147" i="1" s="1"/>
  <c r="J150" i="1"/>
  <c r="K332" i="1"/>
  <c r="K340" i="1" s="1"/>
  <c r="J340" i="1"/>
  <c r="M331" i="1"/>
  <c r="K325" i="1"/>
  <c r="L322" i="1"/>
  <c r="K253" i="1"/>
  <c r="K193" i="26" s="1"/>
  <c r="L164" i="1"/>
  <c r="L348" i="1"/>
  <c r="K345" i="1"/>
  <c r="J352" i="1"/>
  <c r="J364" i="1"/>
  <c r="K355" i="1"/>
  <c r="L343" i="1"/>
  <c r="K319" i="1"/>
  <c r="J328" i="1"/>
  <c r="L153" i="1"/>
  <c r="P144" i="1"/>
  <c r="K141" i="1"/>
  <c r="L134" i="1"/>
  <c r="K138" i="1"/>
  <c r="L138" i="1" s="1"/>
  <c r="M138" i="1" s="1"/>
  <c r="N138" i="1" s="1"/>
  <c r="O138" i="1" s="1"/>
  <c r="P138" i="1" s="1"/>
  <c r="K162" i="1"/>
  <c r="K150" i="1"/>
  <c r="K157" i="1"/>
  <c r="L157" i="1" s="1"/>
  <c r="M157" i="1" s="1"/>
  <c r="N157" i="1" s="1"/>
  <c r="O157" i="1" s="1"/>
  <c r="P157" i="1" s="1"/>
  <c r="J159" i="1"/>
  <c r="J31" i="1"/>
  <c r="K10" i="1"/>
  <c r="J141" i="1"/>
  <c r="N293" i="16"/>
  <c r="N301" i="16" s="1"/>
  <c r="J355" i="16"/>
  <c r="J293" i="16"/>
  <c r="J309" i="16"/>
  <c r="F161" i="16"/>
  <c r="G256" i="1"/>
  <c r="G196" i="26" s="1"/>
  <c r="F256" i="1"/>
  <c r="F196" i="26" s="1"/>
  <c r="E12" i="24"/>
  <c r="G12" i="24"/>
  <c r="F12" i="24"/>
  <c r="F255" i="1"/>
  <c r="F195" i="26" s="1"/>
  <c r="H166" i="1"/>
  <c r="G255" i="1"/>
  <c r="G195" i="26" s="1"/>
  <c r="G165" i="1"/>
  <c r="F254" i="1"/>
  <c r="F194" i="26" s="1"/>
  <c r="H256" i="1"/>
  <c r="H196" i="26" s="1"/>
  <c r="F253" i="1"/>
  <c r="F193" i="26" s="1"/>
  <c r="I256" i="1"/>
  <c r="I196" i="26" s="1"/>
  <c r="F252" i="1"/>
  <c r="F192" i="26" s="1"/>
  <c r="G253" i="1"/>
  <c r="G193" i="26" s="1"/>
  <c r="F251" i="1"/>
  <c r="F191" i="26" s="1"/>
  <c r="G252" i="1"/>
  <c r="G192" i="26" s="1"/>
  <c r="H253" i="1"/>
  <c r="H193" i="26" s="1"/>
  <c r="G251" i="1"/>
  <c r="H252" i="1"/>
  <c r="H192" i="26" s="1"/>
  <c r="I253" i="1"/>
  <c r="I193" i="26" s="1"/>
  <c r="H251" i="1"/>
  <c r="I252" i="1"/>
  <c r="I192" i="26" s="1"/>
  <c r="G197" i="1"/>
  <c r="G179" i="1"/>
  <c r="H172" i="1"/>
  <c r="I172" i="1" s="1"/>
  <c r="J172" i="1" s="1"/>
  <c r="J179" i="1" s="1"/>
  <c r="G188" i="1"/>
  <c r="I200" i="1"/>
  <c r="J200" i="1" s="1"/>
  <c r="K200" i="1" s="1"/>
  <c r="H206" i="1"/>
  <c r="G206" i="1"/>
  <c r="I191" i="1"/>
  <c r="J191" i="1" s="1"/>
  <c r="K191" i="1" s="1"/>
  <c r="L191" i="1" s="1"/>
  <c r="M191" i="1" s="1"/>
  <c r="H192" i="1"/>
  <c r="I192" i="1" s="1"/>
  <c r="J192" i="1" s="1"/>
  <c r="K192" i="1" s="1"/>
  <c r="I182" i="1"/>
  <c r="J182" i="1" s="1"/>
  <c r="K182" i="1" s="1"/>
  <c r="H183" i="1"/>
  <c r="I183" i="1" s="1"/>
  <c r="J183" i="1" s="1"/>
  <c r="K183" i="1" s="1"/>
  <c r="L183" i="1" s="1"/>
  <c r="M183" i="1" s="1"/>
  <c r="N183" i="1" s="1"/>
  <c r="O183" i="1" s="1"/>
  <c r="P183" i="1" s="1"/>
  <c r="G287" i="16"/>
  <c r="G286" i="16"/>
  <c r="G288" i="16"/>
  <c r="I44" i="28"/>
  <c r="I8" i="28"/>
  <c r="H9" i="28"/>
  <c r="H129" i="28"/>
  <c r="H10" i="28" s="1"/>
  <c r="H163" i="28"/>
  <c r="H45" i="28" s="1"/>
  <c r="H102" i="28" s="1"/>
  <c r="I128" i="28"/>
  <c r="I144" i="28"/>
  <c r="I26" i="28" s="1"/>
  <c r="I380" i="16"/>
  <c r="H369" i="16"/>
  <c r="H380" i="16" s="1"/>
  <c r="G369" i="16"/>
  <c r="H75" i="28" l="1"/>
  <c r="M51" i="28"/>
  <c r="L81" i="28"/>
  <c r="L108" i="28"/>
  <c r="N31" i="28"/>
  <c r="M106" i="28"/>
  <c r="M79" i="28"/>
  <c r="N30" i="28"/>
  <c r="M105" i="28"/>
  <c r="M78" i="28"/>
  <c r="N34" i="28"/>
  <c r="M109" i="28"/>
  <c r="M82" i="28"/>
  <c r="P33" i="28"/>
  <c r="M35" i="28"/>
  <c r="L83" i="28"/>
  <c r="L110" i="28"/>
  <c r="N32" i="28"/>
  <c r="M107" i="28"/>
  <c r="M80" i="28"/>
  <c r="N36" i="28"/>
  <c r="M84" i="28"/>
  <c r="M111" i="28"/>
  <c r="I74" i="28"/>
  <c r="I101" i="28"/>
  <c r="F168" i="16"/>
  <c r="J162" i="28"/>
  <c r="J44" i="28" s="1"/>
  <c r="J8" i="28"/>
  <c r="J128" i="28"/>
  <c r="J144" i="28"/>
  <c r="J26" i="28" s="1"/>
  <c r="J188" i="1"/>
  <c r="I179" i="1"/>
  <c r="K172" i="1"/>
  <c r="K179" i="1" s="1"/>
  <c r="J34" i="24"/>
  <c r="H11" i="1"/>
  <c r="G72" i="1"/>
  <c r="J197" i="1"/>
  <c r="K159" i="1"/>
  <c r="J206" i="1"/>
  <c r="L167" i="1"/>
  <c r="K256" i="1"/>
  <c r="K196" i="26" s="1"/>
  <c r="L163" i="1"/>
  <c r="K252" i="1"/>
  <c r="K192" i="26" s="1"/>
  <c r="J9" i="1"/>
  <c r="K144" i="28"/>
  <c r="K162" i="28"/>
  <c r="L127" i="28"/>
  <c r="K128" i="28"/>
  <c r="L10" i="1"/>
  <c r="K31" i="1"/>
  <c r="M322" i="1"/>
  <c r="O338" i="1"/>
  <c r="M164" i="1"/>
  <c r="L253" i="1"/>
  <c r="L193" i="26" s="1"/>
  <c r="K328" i="1"/>
  <c r="L319" i="1"/>
  <c r="M147" i="1"/>
  <c r="L150" i="1"/>
  <c r="L355" i="1"/>
  <c r="K364" i="1"/>
  <c r="L162" i="1"/>
  <c r="K251" i="1"/>
  <c r="L192" i="1"/>
  <c r="K197" i="1"/>
  <c r="L325" i="1"/>
  <c r="L350" i="1"/>
  <c r="N191" i="1"/>
  <c r="M153" i="1"/>
  <c r="L159" i="1"/>
  <c r="L345" i="1"/>
  <c r="N331" i="1"/>
  <c r="O320" i="1"/>
  <c r="K188" i="1"/>
  <c r="L182" i="1"/>
  <c r="M343" i="1"/>
  <c r="L332" i="1"/>
  <c r="L200" i="1"/>
  <c r="K206" i="1"/>
  <c r="M134" i="1"/>
  <c r="L141" i="1"/>
  <c r="J366" i="1"/>
  <c r="K352" i="1"/>
  <c r="M348" i="1"/>
  <c r="N327" i="1"/>
  <c r="J301" i="16"/>
  <c r="E168" i="16"/>
  <c r="H286" i="16"/>
  <c r="I286" i="16" s="1"/>
  <c r="J286" i="16" s="1"/>
  <c r="H165" i="1"/>
  <c r="G254" i="1"/>
  <c r="G194" i="26" s="1"/>
  <c r="H179" i="1"/>
  <c r="I166" i="1"/>
  <c r="J166" i="1" s="1"/>
  <c r="H255" i="1"/>
  <c r="H195" i="26" s="1"/>
  <c r="H188" i="1"/>
  <c r="I206" i="1"/>
  <c r="H197" i="1"/>
  <c r="I197" i="1"/>
  <c r="I188" i="1"/>
  <c r="H287" i="16"/>
  <c r="I287" i="16" s="1"/>
  <c r="J287" i="16" s="1"/>
  <c r="H288" i="16"/>
  <c r="I9" i="28"/>
  <c r="J9" i="28" s="1"/>
  <c r="H135" i="28"/>
  <c r="H11" i="28" s="1"/>
  <c r="H113" i="28" s="1"/>
  <c r="H164" i="28"/>
  <c r="H46" i="28" s="1"/>
  <c r="H146" i="28"/>
  <c r="H28" i="28" s="1"/>
  <c r="I163" i="28"/>
  <c r="I45" i="28" s="1"/>
  <c r="I129" i="28"/>
  <c r="I10" i="28" s="1"/>
  <c r="I145" i="28"/>
  <c r="I27" i="28" s="1"/>
  <c r="G375" i="16"/>
  <c r="H375" i="16" s="1"/>
  <c r="I375" i="16" s="1"/>
  <c r="G371" i="16"/>
  <c r="G370" i="16"/>
  <c r="G379" i="16"/>
  <c r="G386" i="16" s="1"/>
  <c r="H386" i="16" s="1"/>
  <c r="G295" i="16"/>
  <c r="G296" i="16"/>
  <c r="G297" i="16"/>
  <c r="G294" i="16"/>
  <c r="H371" i="16" l="1"/>
  <c r="H370" i="16"/>
  <c r="N51" i="28"/>
  <c r="M108" i="28"/>
  <c r="M81" i="28"/>
  <c r="H86" i="28"/>
  <c r="K8" i="28"/>
  <c r="L8" i="28" s="1"/>
  <c r="H103" i="28"/>
  <c r="H76" i="28"/>
  <c r="O36" i="28"/>
  <c r="N111" i="28"/>
  <c r="N84" i="28"/>
  <c r="O30" i="28"/>
  <c r="N105" i="28"/>
  <c r="N78" i="28"/>
  <c r="O34" i="28"/>
  <c r="N109" i="28"/>
  <c r="N82" i="28"/>
  <c r="O32" i="28"/>
  <c r="N107" i="28"/>
  <c r="N80" i="28"/>
  <c r="I75" i="28"/>
  <c r="I102" i="28"/>
  <c r="N35" i="28"/>
  <c r="M110" i="28"/>
  <c r="M83" i="28"/>
  <c r="O31" i="28"/>
  <c r="N106" i="28"/>
  <c r="N79" i="28"/>
  <c r="J74" i="28"/>
  <c r="J101" i="28"/>
  <c r="K44" i="28"/>
  <c r="K26" i="28"/>
  <c r="J145" i="28"/>
  <c r="J163" i="28"/>
  <c r="J129" i="28"/>
  <c r="J45" i="28"/>
  <c r="J27" i="28"/>
  <c r="L352" i="1"/>
  <c r="L172" i="1"/>
  <c r="M172" i="1" s="1"/>
  <c r="K34" i="24"/>
  <c r="I11" i="1"/>
  <c r="H72" i="1"/>
  <c r="K166" i="1"/>
  <c r="J255" i="1"/>
  <c r="J195" i="26" s="1"/>
  <c r="M163" i="1"/>
  <c r="L252" i="1"/>
  <c r="L192" i="26" s="1"/>
  <c r="M167" i="1"/>
  <c r="L256" i="1"/>
  <c r="L196" i="26" s="1"/>
  <c r="K9" i="1"/>
  <c r="J30" i="1"/>
  <c r="J375" i="16"/>
  <c r="K287" i="16"/>
  <c r="K286" i="16"/>
  <c r="K129" i="28"/>
  <c r="K163" i="28"/>
  <c r="K145" i="28"/>
  <c r="K9" i="28"/>
  <c r="M127" i="28"/>
  <c r="L128" i="28"/>
  <c r="L144" i="28"/>
  <c r="L162" i="28"/>
  <c r="M332" i="1"/>
  <c r="L340" i="1"/>
  <c r="O331" i="1"/>
  <c r="M162" i="1"/>
  <c r="L251" i="1"/>
  <c r="N322" i="1"/>
  <c r="N147" i="1"/>
  <c r="M150" i="1"/>
  <c r="N348" i="1"/>
  <c r="M325" i="1"/>
  <c r="L328" i="1"/>
  <c r="M319" i="1"/>
  <c r="N164" i="1"/>
  <c r="M253" i="1"/>
  <c r="M193" i="26" s="1"/>
  <c r="O327" i="1"/>
  <c r="M350" i="1"/>
  <c r="M141" i="1"/>
  <c r="N134" i="1"/>
  <c r="N343" i="1"/>
  <c r="M182" i="1"/>
  <c r="L188" i="1"/>
  <c r="M345" i="1"/>
  <c r="M192" i="1"/>
  <c r="L197" i="1"/>
  <c r="K366" i="1"/>
  <c r="M200" i="1"/>
  <c r="L206" i="1"/>
  <c r="P320" i="1"/>
  <c r="O191" i="1"/>
  <c r="L364" i="1"/>
  <c r="M355" i="1"/>
  <c r="M10" i="1"/>
  <c r="L31" i="1"/>
  <c r="M159" i="1"/>
  <c r="N153" i="1"/>
  <c r="P338" i="1"/>
  <c r="I255" i="1"/>
  <c r="I195" i="26" s="1"/>
  <c r="I165" i="1"/>
  <c r="J165" i="1" s="1"/>
  <c r="H254" i="1"/>
  <c r="H194" i="26" s="1"/>
  <c r="I288" i="16"/>
  <c r="J288" i="16" s="1"/>
  <c r="I135" i="28"/>
  <c r="I11" i="28" s="1"/>
  <c r="I86" i="28" s="1"/>
  <c r="I146" i="28"/>
  <c r="I28" i="28" s="1"/>
  <c r="I164" i="28"/>
  <c r="I46" i="28" s="1"/>
  <c r="H136" i="28"/>
  <c r="H137" i="28" s="1"/>
  <c r="H29" i="28"/>
  <c r="H171" i="28"/>
  <c r="H47" i="28" s="1"/>
  <c r="I386" i="16"/>
  <c r="G381" i="16"/>
  <c r="H381" i="16" s="1"/>
  <c r="I381" i="16" s="1"/>
  <c r="F28" i="49" l="1"/>
  <c r="F32" i="49"/>
  <c r="F29" i="49"/>
  <c r="F26" i="49"/>
  <c r="F27" i="49"/>
  <c r="I370" i="16"/>
  <c r="G28" i="49"/>
  <c r="G26" i="49"/>
  <c r="G32" i="49"/>
  <c r="G31" i="49"/>
  <c r="G27" i="49"/>
  <c r="G30" i="49"/>
  <c r="G29" i="49"/>
  <c r="F30" i="49"/>
  <c r="F31" i="49"/>
  <c r="I371" i="16"/>
  <c r="L179" i="1"/>
  <c r="O51" i="28"/>
  <c r="N108" i="28"/>
  <c r="N81" i="28"/>
  <c r="I113" i="28"/>
  <c r="P34" i="28"/>
  <c r="O109" i="28"/>
  <c r="O82" i="28"/>
  <c r="P31" i="28"/>
  <c r="O106" i="28"/>
  <c r="O79" i="28"/>
  <c r="J75" i="28"/>
  <c r="J102" i="28"/>
  <c r="P30" i="28"/>
  <c r="O105" i="28"/>
  <c r="O78" i="28"/>
  <c r="I103" i="28"/>
  <c r="I76" i="28"/>
  <c r="O35" i="28"/>
  <c r="N110" i="28"/>
  <c r="N83" i="28"/>
  <c r="P36" i="28"/>
  <c r="O111" i="28"/>
  <c r="O84" i="28"/>
  <c r="P32" i="28"/>
  <c r="O80" i="28"/>
  <c r="O107" i="28"/>
  <c r="K74" i="28"/>
  <c r="K101" i="28"/>
  <c r="H77" i="28"/>
  <c r="H104" i="28"/>
  <c r="L26" i="28"/>
  <c r="K45" i="28"/>
  <c r="L44" i="28"/>
  <c r="K27" i="28"/>
  <c r="J164" i="28"/>
  <c r="J46" i="28" s="1"/>
  <c r="J146" i="28"/>
  <c r="J28" i="28" s="1"/>
  <c r="J135" i="28"/>
  <c r="J10" i="28"/>
  <c r="L34" i="24"/>
  <c r="J11" i="1"/>
  <c r="I72" i="1"/>
  <c r="L287" i="16"/>
  <c r="K30" i="1"/>
  <c r="N167" i="1"/>
  <c r="M256" i="1"/>
  <c r="M196" i="26" s="1"/>
  <c r="L9" i="1"/>
  <c r="M9" i="1" s="1"/>
  <c r="N163" i="1"/>
  <c r="M252" i="1"/>
  <c r="M192" i="26" s="1"/>
  <c r="L166" i="1"/>
  <c r="K255" i="1"/>
  <c r="K195" i="26" s="1"/>
  <c r="K165" i="1"/>
  <c r="J254" i="1"/>
  <c r="J168" i="1"/>
  <c r="L366" i="1"/>
  <c r="K375" i="16"/>
  <c r="J386" i="16"/>
  <c r="I70" i="27"/>
  <c r="J381" i="16"/>
  <c r="L286" i="16"/>
  <c r="K288" i="16"/>
  <c r="L9" i="28"/>
  <c r="M144" i="28"/>
  <c r="M162" i="28"/>
  <c r="N127" i="28"/>
  <c r="M128" i="28"/>
  <c r="K135" i="28"/>
  <c r="K146" i="28"/>
  <c r="K164" i="28"/>
  <c r="L129" i="28"/>
  <c r="L145" i="28"/>
  <c r="L163" i="28"/>
  <c r="M8" i="28"/>
  <c r="O134" i="1"/>
  <c r="N141" i="1"/>
  <c r="N345" i="1"/>
  <c r="N200" i="1"/>
  <c r="M206" i="1"/>
  <c r="N182" i="1"/>
  <c r="M188" i="1"/>
  <c r="O164" i="1"/>
  <c r="N253" i="1"/>
  <c r="N193" i="26" s="1"/>
  <c r="O348" i="1"/>
  <c r="N172" i="1"/>
  <c r="M179" i="1"/>
  <c r="N10" i="1"/>
  <c r="M31" i="1"/>
  <c r="N332" i="1"/>
  <c r="M340" i="1"/>
  <c r="O153" i="1"/>
  <c r="N159" i="1"/>
  <c r="N162" i="1"/>
  <c r="M251" i="1"/>
  <c r="N192" i="1"/>
  <c r="M197" i="1"/>
  <c r="N350" i="1"/>
  <c r="N319" i="1"/>
  <c r="M328" i="1"/>
  <c r="O147" i="1"/>
  <c r="N150" i="1"/>
  <c r="P331" i="1"/>
  <c r="P191" i="1"/>
  <c r="O322" i="1"/>
  <c r="M364" i="1"/>
  <c r="N355" i="1"/>
  <c r="O343" i="1"/>
  <c r="M352" i="1"/>
  <c r="P327" i="1"/>
  <c r="N325" i="1"/>
  <c r="H155" i="28"/>
  <c r="H173" i="28"/>
  <c r="E57" i="49"/>
  <c r="I254" i="1"/>
  <c r="I194" i="26" s="1"/>
  <c r="H12" i="28"/>
  <c r="H138" i="28"/>
  <c r="I136" i="28"/>
  <c r="I171" i="28"/>
  <c r="I47" i="28" s="1"/>
  <c r="I29" i="28"/>
  <c r="H172" i="28"/>
  <c r="H154" i="28"/>
  <c r="H27" i="49" l="1"/>
  <c r="H30" i="49"/>
  <c r="H28" i="49"/>
  <c r="H26" i="49"/>
  <c r="H32" i="49"/>
  <c r="H31" i="49"/>
  <c r="H29" i="49"/>
  <c r="J370" i="16"/>
  <c r="J371" i="16"/>
  <c r="M26" i="28"/>
  <c r="L45" i="28"/>
  <c r="P51" i="28"/>
  <c r="O108" i="28"/>
  <c r="O81" i="28"/>
  <c r="M44" i="28"/>
  <c r="M74" i="28" s="1"/>
  <c r="J76" i="28"/>
  <c r="J103" i="28"/>
  <c r="K102" i="28"/>
  <c r="K75" i="28"/>
  <c r="P105" i="28"/>
  <c r="P78" i="28"/>
  <c r="P35" i="28"/>
  <c r="O83" i="28"/>
  <c r="O110" i="28"/>
  <c r="P107" i="28"/>
  <c r="P80" i="28"/>
  <c r="P111" i="28"/>
  <c r="P84" i="28"/>
  <c r="P106" i="28"/>
  <c r="P79" i="28"/>
  <c r="P109" i="28"/>
  <c r="P82" i="28"/>
  <c r="M101" i="28"/>
  <c r="L74" i="28"/>
  <c r="L101" i="28"/>
  <c r="I104" i="28"/>
  <c r="I77" i="28"/>
  <c r="L27" i="28"/>
  <c r="K46" i="28"/>
  <c r="K28" i="28"/>
  <c r="J171" i="28"/>
  <c r="J136" i="28"/>
  <c r="J29" i="28"/>
  <c r="J11" i="28"/>
  <c r="J86" i="28" s="1"/>
  <c r="J47" i="28"/>
  <c r="K10" i="28"/>
  <c r="M34" i="24"/>
  <c r="J32" i="1"/>
  <c r="K11" i="1"/>
  <c r="J72" i="1"/>
  <c r="M287" i="16"/>
  <c r="L30" i="1"/>
  <c r="O163" i="1"/>
  <c r="N252" i="1"/>
  <c r="N192" i="26" s="1"/>
  <c r="J194" i="26"/>
  <c r="J257" i="1"/>
  <c r="L165" i="1"/>
  <c r="K254" i="1"/>
  <c r="K168" i="1"/>
  <c r="M166" i="1"/>
  <c r="L255" i="1"/>
  <c r="L195" i="26" s="1"/>
  <c r="N352" i="1"/>
  <c r="O167" i="1"/>
  <c r="N256" i="1"/>
  <c r="N196" i="26" s="1"/>
  <c r="N9" i="1"/>
  <c r="M30" i="1"/>
  <c r="K386" i="16"/>
  <c r="L375" i="16"/>
  <c r="K381" i="16"/>
  <c r="J70" i="27"/>
  <c r="M286" i="16"/>
  <c r="N286" i="16" s="1"/>
  <c r="L288" i="16"/>
  <c r="N8" i="28"/>
  <c r="M9" i="28"/>
  <c r="M129" i="28"/>
  <c r="M145" i="28"/>
  <c r="M163" i="28"/>
  <c r="M45" i="28" s="1"/>
  <c r="N128" i="28"/>
  <c r="N144" i="28"/>
  <c r="N26" i="28" s="1"/>
  <c r="N162" i="28"/>
  <c r="O127" i="28"/>
  <c r="L135" i="28"/>
  <c r="L146" i="28"/>
  <c r="L28" i="28" s="1"/>
  <c r="L164" i="28"/>
  <c r="K136" i="28"/>
  <c r="K171" i="28"/>
  <c r="P147" i="1"/>
  <c r="P150" i="1" s="1"/>
  <c r="O150" i="1"/>
  <c r="O162" i="1"/>
  <c r="N251" i="1"/>
  <c r="O332" i="1"/>
  <c r="N340" i="1"/>
  <c r="P348" i="1"/>
  <c r="O10" i="1"/>
  <c r="N31" i="1"/>
  <c r="O350" i="1"/>
  <c r="O200" i="1"/>
  <c r="N206" i="1"/>
  <c r="P343" i="1"/>
  <c r="M366" i="1"/>
  <c r="P164" i="1"/>
  <c r="P253" i="1" s="1"/>
  <c r="P193" i="26" s="1"/>
  <c r="O253" i="1"/>
  <c r="O193" i="26" s="1"/>
  <c r="O325" i="1"/>
  <c r="P322" i="1"/>
  <c r="N328" i="1"/>
  <c r="O319" i="1"/>
  <c r="O172" i="1"/>
  <c r="N179" i="1"/>
  <c r="O345" i="1"/>
  <c r="P134" i="1"/>
  <c r="P141" i="1" s="1"/>
  <c r="O141" i="1"/>
  <c r="O192" i="1"/>
  <c r="N197" i="1"/>
  <c r="P153" i="1"/>
  <c r="P159" i="1" s="1"/>
  <c r="O159" i="1"/>
  <c r="O355" i="1"/>
  <c r="N364" i="1"/>
  <c r="O182" i="1"/>
  <c r="N188" i="1"/>
  <c r="H161" i="16"/>
  <c r="H88" i="16"/>
  <c r="I138" i="28"/>
  <c r="I137" i="28"/>
  <c r="I12" i="28"/>
  <c r="H156" i="28"/>
  <c r="H37" i="28" s="1"/>
  <c r="H174" i="28"/>
  <c r="I154" i="28"/>
  <c r="I172" i="28"/>
  <c r="I32" i="49" l="1"/>
  <c r="I29" i="49"/>
  <c r="I28" i="49"/>
  <c r="I31" i="49"/>
  <c r="I27" i="49"/>
  <c r="I30" i="49"/>
  <c r="I26" i="49"/>
  <c r="K370" i="16"/>
  <c r="K371" i="16"/>
  <c r="N44" i="28"/>
  <c r="N101" i="28" s="1"/>
  <c r="P81" i="28"/>
  <c r="P108" i="28"/>
  <c r="J113" i="28"/>
  <c r="L75" i="28"/>
  <c r="L102" i="28"/>
  <c r="H85" i="28"/>
  <c r="H112" i="28"/>
  <c r="M27" i="28"/>
  <c r="P110" i="28"/>
  <c r="P83" i="28"/>
  <c r="K76" i="28"/>
  <c r="K103" i="28"/>
  <c r="J104" i="28"/>
  <c r="J77" i="28"/>
  <c r="L46" i="28"/>
  <c r="L103" i="28" s="1"/>
  <c r="J12" i="28"/>
  <c r="K11" i="28"/>
  <c r="L11" i="28" s="1"/>
  <c r="K47" i="28"/>
  <c r="K29" i="28"/>
  <c r="J154" i="28"/>
  <c r="J137" i="28"/>
  <c r="J172" i="28"/>
  <c r="J138" i="28"/>
  <c r="L10" i="28"/>
  <c r="I156" i="28"/>
  <c r="I37" i="28" s="1"/>
  <c r="I174" i="28"/>
  <c r="N34" i="24"/>
  <c r="K32" i="1"/>
  <c r="L11" i="1"/>
  <c r="K72" i="1"/>
  <c r="N287" i="16"/>
  <c r="O287" i="16" s="1"/>
  <c r="M255" i="1"/>
  <c r="M195" i="26" s="1"/>
  <c r="N166" i="1"/>
  <c r="P163" i="1"/>
  <c r="P252" i="1" s="1"/>
  <c r="P192" i="26" s="1"/>
  <c r="O252" i="1"/>
  <c r="O192" i="26" s="1"/>
  <c r="P167" i="1"/>
  <c r="P256" i="1" s="1"/>
  <c r="P196" i="26" s="1"/>
  <c r="O256" i="1"/>
  <c r="O196" i="26" s="1"/>
  <c r="K194" i="26"/>
  <c r="K257" i="1"/>
  <c r="M165" i="1"/>
  <c r="L254" i="1"/>
  <c r="L168" i="1"/>
  <c r="N366" i="1"/>
  <c r="N30" i="1"/>
  <c r="O9" i="1"/>
  <c r="M375" i="16"/>
  <c r="L381" i="16"/>
  <c r="K70" i="27"/>
  <c r="L386" i="16"/>
  <c r="M288" i="16"/>
  <c r="K12" i="28"/>
  <c r="N145" i="28"/>
  <c r="N163" i="28"/>
  <c r="N45" i="28" s="1"/>
  <c r="N129" i="28"/>
  <c r="J157" i="28"/>
  <c r="J175" i="28"/>
  <c r="L136" i="28"/>
  <c r="L171" i="28"/>
  <c r="M146" i="28"/>
  <c r="M28" i="28" s="1"/>
  <c r="M164" i="28"/>
  <c r="M135" i="28"/>
  <c r="O8" i="28"/>
  <c r="O128" i="28"/>
  <c r="O144" i="28"/>
  <c r="O26" i="28" s="1"/>
  <c r="O162" i="28"/>
  <c r="P127" i="28"/>
  <c r="K138" i="28"/>
  <c r="K137" i="28"/>
  <c r="K154" i="28"/>
  <c r="K172" i="28"/>
  <c r="N9" i="28"/>
  <c r="P345" i="1"/>
  <c r="O352" i="1"/>
  <c r="P325" i="1"/>
  <c r="O364" i="1"/>
  <c r="P355" i="1"/>
  <c r="P364" i="1" s="1"/>
  <c r="P192" i="1"/>
  <c r="P197" i="1" s="1"/>
  <c r="O197" i="1"/>
  <c r="O328" i="1"/>
  <c r="P319" i="1"/>
  <c r="P350" i="1"/>
  <c r="P162" i="1"/>
  <c r="O251" i="1"/>
  <c r="P172" i="1"/>
  <c r="P179" i="1" s="1"/>
  <c r="O179" i="1"/>
  <c r="O206" i="1"/>
  <c r="P200" i="1"/>
  <c r="P206" i="1" s="1"/>
  <c r="P182" i="1"/>
  <c r="P188" i="1" s="1"/>
  <c r="O188" i="1"/>
  <c r="P10" i="1"/>
  <c r="O31" i="1"/>
  <c r="P332" i="1"/>
  <c r="O340" i="1"/>
  <c r="O286" i="16"/>
  <c r="I155" i="28"/>
  <c r="I173" i="28"/>
  <c r="E53" i="49"/>
  <c r="E55" i="49"/>
  <c r="E60" i="49"/>
  <c r="E49" i="49"/>
  <c r="H175" i="28"/>
  <c r="H157" i="28"/>
  <c r="I157" i="28"/>
  <c r="I175" i="28"/>
  <c r="E56" i="49"/>
  <c r="E52" i="49"/>
  <c r="E61" i="49"/>
  <c r="E50" i="49"/>
  <c r="E58" i="49"/>
  <c r="E48" i="49"/>
  <c r="E59" i="49"/>
  <c r="E51" i="49"/>
  <c r="E47" i="49"/>
  <c r="J31" i="49" l="1"/>
  <c r="J32" i="49"/>
  <c r="J28" i="49"/>
  <c r="J27" i="49"/>
  <c r="J30" i="49"/>
  <c r="J29" i="49"/>
  <c r="J26" i="49"/>
  <c r="L370" i="16"/>
  <c r="L371" i="16"/>
  <c r="O44" i="28"/>
  <c r="N74" i="28"/>
  <c r="K86" i="28"/>
  <c r="K113" i="28"/>
  <c r="L76" i="28"/>
  <c r="M46" i="28"/>
  <c r="M10" i="28"/>
  <c r="L86" i="28"/>
  <c r="L113" i="28"/>
  <c r="M76" i="28"/>
  <c r="M103" i="28"/>
  <c r="M75" i="28"/>
  <c r="M102" i="28"/>
  <c r="N27" i="28"/>
  <c r="I85" i="28"/>
  <c r="I112" i="28"/>
  <c r="O101" i="28"/>
  <c r="O74" i="28"/>
  <c r="K77" i="28"/>
  <c r="K104" i="28"/>
  <c r="L47" i="28"/>
  <c r="L29" i="28"/>
  <c r="J173" i="28"/>
  <c r="J155" i="28"/>
  <c r="J174" i="28"/>
  <c r="J156" i="28"/>
  <c r="J37" i="28" s="1"/>
  <c r="J23" i="28"/>
  <c r="O34" i="24"/>
  <c r="M11" i="1"/>
  <c r="L32" i="1"/>
  <c r="L72" i="1"/>
  <c r="L194" i="26"/>
  <c r="L257" i="1"/>
  <c r="M254" i="1"/>
  <c r="N165" i="1"/>
  <c r="M168" i="1"/>
  <c r="P352" i="1"/>
  <c r="N255" i="1"/>
  <c r="N195" i="26" s="1"/>
  <c r="O166" i="1"/>
  <c r="P9" i="1"/>
  <c r="O30" i="1"/>
  <c r="M386" i="16"/>
  <c r="M381" i="16"/>
  <c r="L70" i="27"/>
  <c r="N375" i="16"/>
  <c r="N288" i="16"/>
  <c r="P128" i="28"/>
  <c r="P144" i="28"/>
  <c r="P26" i="28" s="1"/>
  <c r="P162" i="28"/>
  <c r="P44" i="28" s="1"/>
  <c r="P8" i="28"/>
  <c r="O129" i="28"/>
  <c r="O145" i="28"/>
  <c r="O163" i="28"/>
  <c r="O45" i="28" s="1"/>
  <c r="L138" i="28"/>
  <c r="L137" i="28"/>
  <c r="L154" i="28"/>
  <c r="L172" i="28"/>
  <c r="N10" i="28"/>
  <c r="N135" i="28"/>
  <c r="N146" i="28"/>
  <c r="N28" i="28" s="1"/>
  <c r="N164" i="28"/>
  <c r="M136" i="28"/>
  <c r="M171" i="28"/>
  <c r="M47" i="28" s="1"/>
  <c r="O9" i="28"/>
  <c r="K155" i="28"/>
  <c r="K173" i="28"/>
  <c r="L12" i="28"/>
  <c r="K156" i="28"/>
  <c r="K174" i="28"/>
  <c r="M11" i="28"/>
  <c r="P340" i="1"/>
  <c r="P31" i="1"/>
  <c r="P251" i="1"/>
  <c r="P328" i="1"/>
  <c r="O366" i="1"/>
  <c r="P286" i="16"/>
  <c r="P287" i="16"/>
  <c r="I88" i="16"/>
  <c r="I161" i="16"/>
  <c r="Q505" i="16"/>
  <c r="J505" i="16"/>
  <c r="H505" i="16"/>
  <c r="K29" i="49" l="1"/>
  <c r="K28" i="49"/>
  <c r="K31" i="49"/>
  <c r="K26" i="49"/>
  <c r="K32" i="49"/>
  <c r="K27" i="49"/>
  <c r="K30" i="49"/>
  <c r="M370" i="16"/>
  <c r="M371" i="16"/>
  <c r="N46" i="28"/>
  <c r="N76" i="28" s="1"/>
  <c r="O27" i="28"/>
  <c r="M113" i="28"/>
  <c r="M86" i="28"/>
  <c r="O75" i="28"/>
  <c r="O102" i="28"/>
  <c r="J85" i="28"/>
  <c r="J112" i="28"/>
  <c r="N75" i="28"/>
  <c r="N102" i="28"/>
  <c r="P101" i="28"/>
  <c r="P74" i="28"/>
  <c r="L77" i="28"/>
  <c r="L104" i="28"/>
  <c r="M29" i="28"/>
  <c r="K37" i="28"/>
  <c r="J161" i="16"/>
  <c r="J88" i="16"/>
  <c r="K88" i="16"/>
  <c r="P34" i="24"/>
  <c r="N11" i="1"/>
  <c r="M32" i="1"/>
  <c r="M72" i="1"/>
  <c r="M194" i="26"/>
  <c r="M257" i="1"/>
  <c r="O255" i="1"/>
  <c r="O195" i="26" s="1"/>
  <c r="P166" i="1"/>
  <c r="P255" i="1" s="1"/>
  <c r="P195" i="26" s="1"/>
  <c r="N254" i="1"/>
  <c r="O165" i="1"/>
  <c r="N168" i="1"/>
  <c r="P366" i="1"/>
  <c r="P30" i="1"/>
  <c r="N386" i="16"/>
  <c r="O375" i="16"/>
  <c r="N381" i="16"/>
  <c r="M70" i="27"/>
  <c r="O288" i="16"/>
  <c r="O146" i="28"/>
  <c r="O28" i="28" s="1"/>
  <c r="O164" i="28"/>
  <c r="O135" i="28"/>
  <c r="P9" i="28"/>
  <c r="N11" i="28"/>
  <c r="N113" i="28" s="1"/>
  <c r="P129" i="28"/>
  <c r="P145" i="28"/>
  <c r="P27" i="28" s="1"/>
  <c r="P163" i="28"/>
  <c r="P45" i="28" s="1"/>
  <c r="K157" i="28"/>
  <c r="K175" i="28"/>
  <c r="M138" i="28"/>
  <c r="M137" i="28"/>
  <c r="M154" i="28"/>
  <c r="M172" i="28"/>
  <c r="O10" i="28"/>
  <c r="L155" i="28"/>
  <c r="L173" i="28"/>
  <c r="M12" i="28"/>
  <c r="N29" i="28"/>
  <c r="N171" i="28"/>
  <c r="N47" i="28" s="1"/>
  <c r="N136" i="28"/>
  <c r="L156" i="28"/>
  <c r="L174" i="28"/>
  <c r="Q581" i="16"/>
  <c r="J581" i="16"/>
  <c r="H581" i="16"/>
  <c r="L32" i="49" l="1"/>
  <c r="L29" i="49"/>
  <c r="L28" i="49"/>
  <c r="L31" i="49"/>
  <c r="L30" i="49"/>
  <c r="L26" i="49"/>
  <c r="L27" i="49"/>
  <c r="N370" i="16"/>
  <c r="N371" i="16"/>
  <c r="N103" i="28"/>
  <c r="O46" i="28"/>
  <c r="N86" i="28"/>
  <c r="P75" i="28"/>
  <c r="P102" i="28"/>
  <c r="O76" i="28"/>
  <c r="O103" i="28"/>
  <c r="K85" i="28"/>
  <c r="K112" i="28"/>
  <c r="N104" i="28"/>
  <c r="N77" i="28"/>
  <c r="M77" i="28"/>
  <c r="M104" i="28"/>
  <c r="J22" i="16"/>
  <c r="L161" i="16"/>
  <c r="L37" i="28"/>
  <c r="J16" i="16"/>
  <c r="K161" i="16"/>
  <c r="K16" i="16" s="1"/>
  <c r="O11" i="1"/>
  <c r="N32" i="1"/>
  <c r="N72" i="1"/>
  <c r="O254" i="1"/>
  <c r="P165" i="1"/>
  <c r="O168" i="1"/>
  <c r="N194" i="26"/>
  <c r="N257" i="1"/>
  <c r="P375" i="16"/>
  <c r="O386" i="16"/>
  <c r="O381" i="16"/>
  <c r="N70" i="27"/>
  <c r="P288" i="16"/>
  <c r="L157" i="28"/>
  <c r="L175" i="28"/>
  <c r="N12" i="28"/>
  <c r="P135" i="28"/>
  <c r="P146" i="28"/>
  <c r="P28" i="28" s="1"/>
  <c r="P164" i="28"/>
  <c r="P46" i="28" s="1"/>
  <c r="O136" i="28"/>
  <c r="O29" i="28"/>
  <c r="O171" i="28"/>
  <c r="O47" i="28" s="1"/>
  <c r="N138" i="28"/>
  <c r="N137" i="28"/>
  <c r="N172" i="28"/>
  <c r="N154" i="28"/>
  <c r="K23" i="28"/>
  <c r="M155" i="28"/>
  <c r="M173" i="28"/>
  <c r="M156" i="28"/>
  <c r="M174" i="28"/>
  <c r="P10" i="28"/>
  <c r="O11" i="28"/>
  <c r="O113" i="28" s="1"/>
  <c r="I505" i="16"/>
  <c r="I599" i="16" s="1"/>
  <c r="J599" i="16"/>
  <c r="Q599" i="16"/>
  <c r="H599" i="16"/>
  <c r="M26" i="49" l="1"/>
  <c r="M32" i="49"/>
  <c r="M31" i="49"/>
  <c r="M27" i="49"/>
  <c r="M28" i="49"/>
  <c r="M29" i="49"/>
  <c r="M30" i="49"/>
  <c r="O370" i="16"/>
  <c r="O371" i="16"/>
  <c r="O86" i="28"/>
  <c r="P103" i="28"/>
  <c r="P76" i="28"/>
  <c r="L85" i="28"/>
  <c r="L112" i="28"/>
  <c r="O77" i="28"/>
  <c r="O104" i="28"/>
  <c r="L88" i="16"/>
  <c r="L16" i="16" s="1"/>
  <c r="K22" i="16"/>
  <c r="M37" i="28"/>
  <c r="L22" i="16"/>
  <c r="P11" i="1"/>
  <c r="O32" i="1"/>
  <c r="O72" i="1"/>
  <c r="P254" i="1"/>
  <c r="P168" i="1"/>
  <c r="O194" i="26"/>
  <c r="O257" i="1"/>
  <c r="P386" i="16"/>
  <c r="P381" i="16"/>
  <c r="O70" i="27"/>
  <c r="M161" i="16"/>
  <c r="M88" i="16"/>
  <c r="M157" i="28"/>
  <c r="M175" i="28"/>
  <c r="P11" i="28"/>
  <c r="P86" i="28" s="1"/>
  <c r="N155" i="28"/>
  <c r="N173" i="28"/>
  <c r="N156" i="28"/>
  <c r="N174" i="28"/>
  <c r="P29" i="28"/>
  <c r="P171" i="28"/>
  <c r="P47" i="28" s="1"/>
  <c r="P136" i="28"/>
  <c r="O12" i="28"/>
  <c r="L23" i="28"/>
  <c r="O138" i="28"/>
  <c r="O154" i="28"/>
  <c r="O172" i="28"/>
  <c r="O137" i="28"/>
  <c r="B194" i="11"/>
  <c r="Q194" i="11"/>
  <c r="B195" i="11"/>
  <c r="Q195" i="11"/>
  <c r="B196" i="11"/>
  <c r="Q196" i="11"/>
  <c r="B197" i="11"/>
  <c r="Q197" i="11"/>
  <c r="B198" i="11"/>
  <c r="Q198" i="11"/>
  <c r="B199" i="11"/>
  <c r="Q199" i="11"/>
  <c r="B200" i="11"/>
  <c r="Q200" i="11"/>
  <c r="B201" i="11"/>
  <c r="Q201" i="11"/>
  <c r="B202" i="11"/>
  <c r="Q202" i="11"/>
  <c r="B203" i="11"/>
  <c r="Q203" i="11"/>
  <c r="B204" i="11"/>
  <c r="Q204" i="11"/>
  <c r="B205" i="11"/>
  <c r="Q205" i="11"/>
  <c r="B206" i="11"/>
  <c r="Q206" i="11"/>
  <c r="B207" i="11"/>
  <c r="Q207" i="11"/>
  <c r="B208" i="11"/>
  <c r="Q208" i="11"/>
  <c r="B209" i="11"/>
  <c r="Q209" i="11"/>
  <c r="B210" i="11"/>
  <c r="Q210" i="11"/>
  <c r="B211" i="11"/>
  <c r="Q211" i="11"/>
  <c r="B212" i="11"/>
  <c r="Q212" i="11"/>
  <c r="B213" i="11"/>
  <c r="Q213" i="11"/>
  <c r="B214" i="11"/>
  <c r="Q214" i="11"/>
  <c r="B215" i="11"/>
  <c r="Q215" i="11"/>
  <c r="B216" i="11"/>
  <c r="Q216" i="11"/>
  <c r="B217" i="11"/>
  <c r="Q217" i="11"/>
  <c r="B218" i="11"/>
  <c r="Q218" i="11"/>
  <c r="B219" i="11"/>
  <c r="Q219" i="11"/>
  <c r="B220" i="11"/>
  <c r="Q220" i="11"/>
  <c r="B221" i="11"/>
  <c r="Q221" i="11"/>
  <c r="B222" i="11"/>
  <c r="Q222" i="11"/>
  <c r="B223" i="11"/>
  <c r="Q223" i="11"/>
  <c r="B224" i="11"/>
  <c r="Q224" i="11"/>
  <c r="B225" i="11"/>
  <c r="Q225" i="11"/>
  <c r="B226" i="11"/>
  <c r="Q226" i="11"/>
  <c r="B227" i="11"/>
  <c r="Q227" i="11"/>
  <c r="B228" i="11"/>
  <c r="Q228" i="11"/>
  <c r="B229" i="11"/>
  <c r="Q229" i="11"/>
  <c r="B230" i="11"/>
  <c r="Q230" i="11"/>
  <c r="B231" i="11"/>
  <c r="Q231" i="11"/>
  <c r="B232" i="11"/>
  <c r="Q232" i="11"/>
  <c r="B233" i="11"/>
  <c r="Q233" i="11"/>
  <c r="B234" i="11"/>
  <c r="Q234" i="11"/>
  <c r="B235" i="11"/>
  <c r="Q235" i="11"/>
  <c r="B236" i="11"/>
  <c r="Q236" i="11"/>
  <c r="B237" i="11"/>
  <c r="Q237" i="11"/>
  <c r="B238" i="11"/>
  <c r="Q238" i="11"/>
  <c r="B239" i="11"/>
  <c r="Q239" i="11"/>
  <c r="B240" i="11"/>
  <c r="Q240" i="11"/>
  <c r="B241" i="11"/>
  <c r="Q241" i="11"/>
  <c r="B242" i="11"/>
  <c r="Q242" i="11"/>
  <c r="B243" i="11"/>
  <c r="Q243" i="11"/>
  <c r="B244" i="11"/>
  <c r="Q244" i="11"/>
  <c r="B245" i="11"/>
  <c r="Q245" i="11"/>
  <c r="B246" i="11"/>
  <c r="Q246" i="11"/>
  <c r="B247" i="11"/>
  <c r="Q247" i="11"/>
  <c r="B248" i="11"/>
  <c r="Q248" i="11"/>
  <c r="B249" i="11"/>
  <c r="Q249" i="11"/>
  <c r="B250" i="11"/>
  <c r="Q250" i="11"/>
  <c r="B251" i="11"/>
  <c r="Q251" i="11"/>
  <c r="B252" i="11"/>
  <c r="Q252" i="11"/>
  <c r="B253" i="11"/>
  <c r="Q253" i="11"/>
  <c r="B254" i="11"/>
  <c r="Q254" i="11"/>
  <c r="B255" i="11"/>
  <c r="Q255" i="11"/>
  <c r="B256" i="11"/>
  <c r="Q256" i="11"/>
  <c r="B257" i="11"/>
  <c r="Q257" i="11"/>
  <c r="B258" i="11"/>
  <c r="Q258" i="11"/>
  <c r="B259" i="11"/>
  <c r="Q259" i="11"/>
  <c r="B260" i="11"/>
  <c r="Q260" i="11"/>
  <c r="B261" i="11"/>
  <c r="Q261" i="11"/>
  <c r="B262" i="11"/>
  <c r="Q262" i="11"/>
  <c r="B263" i="11"/>
  <c r="Q263" i="11"/>
  <c r="B264" i="11"/>
  <c r="Q264" i="11"/>
  <c r="B265" i="11"/>
  <c r="Q265" i="11"/>
  <c r="B266" i="11"/>
  <c r="Q266" i="11"/>
  <c r="B267" i="11"/>
  <c r="Q267" i="11"/>
  <c r="B268" i="11"/>
  <c r="Q268" i="11"/>
  <c r="B269" i="11"/>
  <c r="Q269" i="11"/>
  <c r="B270" i="11"/>
  <c r="Q270" i="11"/>
  <c r="B271" i="11"/>
  <c r="Q271" i="11"/>
  <c r="B272" i="11"/>
  <c r="Q272" i="11"/>
  <c r="B273" i="11"/>
  <c r="Q273" i="11"/>
  <c r="B274" i="11"/>
  <c r="Q274" i="11"/>
  <c r="B275" i="11"/>
  <c r="Q275" i="11"/>
  <c r="B276" i="11"/>
  <c r="Q276" i="11"/>
  <c r="B277" i="11"/>
  <c r="Q277" i="11"/>
  <c r="B278" i="11"/>
  <c r="Q278" i="11"/>
  <c r="B279" i="11"/>
  <c r="Q279" i="11"/>
  <c r="B280" i="11"/>
  <c r="Q280" i="11"/>
  <c r="B281" i="11"/>
  <c r="Q281" i="11"/>
  <c r="B282" i="11"/>
  <c r="Q282" i="11"/>
  <c r="B283" i="11"/>
  <c r="Q283" i="11"/>
  <c r="B284" i="11"/>
  <c r="Q284" i="11"/>
  <c r="B285" i="11"/>
  <c r="Q285" i="11"/>
  <c r="B286" i="11"/>
  <c r="Q286" i="11"/>
  <c r="B287" i="11"/>
  <c r="Q287" i="11"/>
  <c r="B288" i="11"/>
  <c r="Q288" i="11"/>
  <c r="B289" i="11"/>
  <c r="Q289" i="11"/>
  <c r="B290" i="11"/>
  <c r="Q290" i="11"/>
  <c r="B291" i="11"/>
  <c r="Q291" i="11"/>
  <c r="B292" i="11"/>
  <c r="Q292" i="11"/>
  <c r="B293" i="11"/>
  <c r="Q293" i="11"/>
  <c r="B294" i="11"/>
  <c r="Q294" i="11"/>
  <c r="B295" i="11"/>
  <c r="Q295" i="11"/>
  <c r="B296" i="11"/>
  <c r="Q296" i="11"/>
  <c r="B297" i="11"/>
  <c r="Q297" i="11"/>
  <c r="B298" i="11"/>
  <c r="Q298" i="11"/>
  <c r="B299" i="11"/>
  <c r="Q299" i="11"/>
  <c r="B300" i="11"/>
  <c r="Q300" i="11"/>
  <c r="B301" i="11"/>
  <c r="Q301" i="11"/>
  <c r="B302" i="11"/>
  <c r="Q302" i="11"/>
  <c r="B303" i="11"/>
  <c r="Q303" i="11"/>
  <c r="B304" i="11"/>
  <c r="Q304" i="11"/>
  <c r="B305" i="11"/>
  <c r="Q305" i="11"/>
  <c r="B306" i="11"/>
  <c r="Q306" i="11"/>
  <c r="B307" i="11"/>
  <c r="Q307" i="11"/>
  <c r="B308" i="11"/>
  <c r="Q308" i="11"/>
  <c r="B309" i="11"/>
  <c r="Q309" i="11"/>
  <c r="B310" i="11"/>
  <c r="Q310" i="11"/>
  <c r="B311" i="11"/>
  <c r="Q311" i="11"/>
  <c r="B312" i="11"/>
  <c r="Q312" i="11"/>
  <c r="B313" i="11"/>
  <c r="Q313" i="11"/>
  <c r="B314" i="11"/>
  <c r="Q314" i="11"/>
  <c r="B315" i="11"/>
  <c r="Q315" i="11"/>
  <c r="B316" i="11"/>
  <c r="Q316" i="11"/>
  <c r="B317" i="11"/>
  <c r="Q317" i="11"/>
  <c r="B318" i="11"/>
  <c r="Q318" i="11"/>
  <c r="B319" i="11"/>
  <c r="Q319" i="11"/>
  <c r="B320" i="11"/>
  <c r="Q320" i="11"/>
  <c r="B321" i="11"/>
  <c r="Q321" i="11"/>
  <c r="B322" i="11"/>
  <c r="Q322" i="11"/>
  <c r="B323" i="11"/>
  <c r="Q323" i="11"/>
  <c r="B324" i="11"/>
  <c r="Q324" i="11"/>
  <c r="B325" i="11"/>
  <c r="Q325" i="11"/>
  <c r="B326" i="11"/>
  <c r="Q326" i="11"/>
  <c r="B327" i="11"/>
  <c r="Q327" i="11"/>
  <c r="B328" i="11"/>
  <c r="Q328" i="11"/>
  <c r="B329" i="11"/>
  <c r="Q329" i="11"/>
  <c r="B330" i="11"/>
  <c r="Q330" i="11"/>
  <c r="B331" i="11"/>
  <c r="Q331" i="11"/>
  <c r="B332" i="11"/>
  <c r="Q332" i="11"/>
  <c r="B333" i="11"/>
  <c r="Q333" i="11"/>
  <c r="B334" i="11"/>
  <c r="Q334" i="11"/>
  <c r="B335" i="11"/>
  <c r="Q335" i="11"/>
  <c r="B336" i="11"/>
  <c r="Q336" i="11"/>
  <c r="B337" i="11"/>
  <c r="Q337" i="11"/>
  <c r="B338" i="11"/>
  <c r="Q338" i="11"/>
  <c r="B339" i="11"/>
  <c r="Q339" i="11"/>
  <c r="B340" i="11"/>
  <c r="Q340" i="11"/>
  <c r="B341" i="11"/>
  <c r="Q341" i="11"/>
  <c r="B342" i="11"/>
  <c r="Q342" i="11"/>
  <c r="B18" i="11"/>
  <c r="Q18" i="11"/>
  <c r="B19" i="11"/>
  <c r="Q19" i="11"/>
  <c r="B20" i="11"/>
  <c r="Q20" i="11"/>
  <c r="B21" i="11"/>
  <c r="Q21" i="11"/>
  <c r="B22" i="11"/>
  <c r="Q22" i="11"/>
  <c r="B23" i="11"/>
  <c r="Q23" i="11"/>
  <c r="B24" i="11"/>
  <c r="Q24" i="11"/>
  <c r="B25" i="11"/>
  <c r="Q25" i="11"/>
  <c r="B26" i="11"/>
  <c r="Q26" i="11"/>
  <c r="B27" i="11"/>
  <c r="Q27" i="11"/>
  <c r="B28" i="11"/>
  <c r="Q28" i="11"/>
  <c r="B29" i="11"/>
  <c r="Q29" i="11"/>
  <c r="B30" i="11"/>
  <c r="Q30" i="11"/>
  <c r="B31" i="11"/>
  <c r="Q31" i="11"/>
  <c r="B32" i="11"/>
  <c r="Q32" i="11"/>
  <c r="B33" i="11"/>
  <c r="Q33" i="11"/>
  <c r="B34" i="11"/>
  <c r="Q34" i="11"/>
  <c r="B35" i="11"/>
  <c r="Q35" i="11"/>
  <c r="B36" i="11"/>
  <c r="Q36" i="11"/>
  <c r="B37" i="11"/>
  <c r="Q37" i="11"/>
  <c r="B38" i="11"/>
  <c r="Q38" i="11"/>
  <c r="B39" i="11"/>
  <c r="Q39" i="11"/>
  <c r="B40" i="11"/>
  <c r="Q40" i="11"/>
  <c r="B41" i="11"/>
  <c r="Q41" i="11"/>
  <c r="B42" i="11"/>
  <c r="Q42" i="11"/>
  <c r="B43" i="11"/>
  <c r="Q43" i="11"/>
  <c r="B44" i="11"/>
  <c r="Q44" i="11"/>
  <c r="B45" i="11"/>
  <c r="Q45" i="11"/>
  <c r="B46" i="11"/>
  <c r="Q46" i="11"/>
  <c r="B47" i="11"/>
  <c r="Q47" i="11"/>
  <c r="B48" i="11"/>
  <c r="Q48" i="11"/>
  <c r="B49" i="11"/>
  <c r="Q49" i="11"/>
  <c r="B50" i="11"/>
  <c r="Q50" i="11"/>
  <c r="B51" i="11"/>
  <c r="Q51" i="11"/>
  <c r="B52" i="11"/>
  <c r="Q52" i="11"/>
  <c r="B53" i="11"/>
  <c r="Q53" i="11"/>
  <c r="B54" i="11"/>
  <c r="Q54" i="11"/>
  <c r="B55" i="11"/>
  <c r="Q55" i="11"/>
  <c r="B56" i="11"/>
  <c r="Q56" i="11"/>
  <c r="B57" i="11"/>
  <c r="Q57" i="11"/>
  <c r="B58" i="11"/>
  <c r="Q58" i="11"/>
  <c r="B59" i="11"/>
  <c r="Q59" i="11"/>
  <c r="B60" i="11"/>
  <c r="Q60" i="11"/>
  <c r="B61" i="11"/>
  <c r="Q61" i="11"/>
  <c r="B62" i="11"/>
  <c r="Q62" i="11"/>
  <c r="B63" i="11"/>
  <c r="Q63" i="11"/>
  <c r="B64" i="11"/>
  <c r="Q64" i="11"/>
  <c r="B65" i="11"/>
  <c r="Q65" i="11"/>
  <c r="B66" i="11"/>
  <c r="Q66" i="11"/>
  <c r="B67" i="11"/>
  <c r="Q67" i="11"/>
  <c r="B68" i="11"/>
  <c r="Q68" i="11"/>
  <c r="B69" i="11"/>
  <c r="Q69" i="11"/>
  <c r="B70" i="11"/>
  <c r="Q70" i="11"/>
  <c r="B71" i="11"/>
  <c r="Q71" i="11"/>
  <c r="B72" i="11"/>
  <c r="Q72" i="11"/>
  <c r="B73" i="11"/>
  <c r="Q73" i="11"/>
  <c r="B74" i="11"/>
  <c r="Q74" i="11"/>
  <c r="B75" i="11"/>
  <c r="Q75" i="11"/>
  <c r="B76" i="11"/>
  <c r="Q76" i="11"/>
  <c r="B77" i="11"/>
  <c r="Q77" i="11"/>
  <c r="B78" i="11"/>
  <c r="Q78" i="11"/>
  <c r="B79" i="11"/>
  <c r="Q79" i="11"/>
  <c r="B80" i="11"/>
  <c r="Q80" i="11"/>
  <c r="B81" i="11"/>
  <c r="Q81" i="11"/>
  <c r="B82" i="11"/>
  <c r="Q82" i="11"/>
  <c r="B83" i="11"/>
  <c r="Q83" i="11"/>
  <c r="B84" i="11"/>
  <c r="Q84" i="11"/>
  <c r="B85" i="11"/>
  <c r="Q85" i="11"/>
  <c r="B86" i="11"/>
  <c r="Q86" i="11"/>
  <c r="B87" i="11"/>
  <c r="Q87" i="11"/>
  <c r="B88" i="11"/>
  <c r="Q88" i="11"/>
  <c r="B89" i="11"/>
  <c r="Q89" i="11"/>
  <c r="B90" i="11"/>
  <c r="Q90" i="11"/>
  <c r="B91" i="11"/>
  <c r="Q91" i="11"/>
  <c r="B92" i="11"/>
  <c r="Q92" i="11"/>
  <c r="B93" i="11"/>
  <c r="Q93" i="11"/>
  <c r="B94" i="11"/>
  <c r="Q94" i="11"/>
  <c r="B95" i="11"/>
  <c r="Q95" i="11"/>
  <c r="B96" i="11"/>
  <c r="Q96" i="11"/>
  <c r="B97" i="11"/>
  <c r="Q97" i="11"/>
  <c r="B98" i="11"/>
  <c r="Q98" i="11"/>
  <c r="B99" i="11"/>
  <c r="Q99" i="11"/>
  <c r="B100" i="11"/>
  <c r="Q100" i="11"/>
  <c r="B101" i="11"/>
  <c r="Q101" i="11"/>
  <c r="B102" i="11"/>
  <c r="Q102" i="11"/>
  <c r="B103" i="11"/>
  <c r="Q103" i="11"/>
  <c r="B104" i="11"/>
  <c r="Q104" i="11"/>
  <c r="B105" i="11"/>
  <c r="Q105" i="11"/>
  <c r="B106" i="11"/>
  <c r="Q106" i="11"/>
  <c r="B107" i="11"/>
  <c r="Q107" i="11"/>
  <c r="B108" i="11"/>
  <c r="Q108" i="11"/>
  <c r="B109" i="11"/>
  <c r="Q109" i="11"/>
  <c r="B110" i="11"/>
  <c r="Q110" i="11"/>
  <c r="B111" i="11"/>
  <c r="Q111" i="11"/>
  <c r="B112" i="11"/>
  <c r="Q112" i="11"/>
  <c r="B113" i="11"/>
  <c r="Q113" i="11"/>
  <c r="B114" i="11"/>
  <c r="Q114" i="11"/>
  <c r="B115" i="11"/>
  <c r="Q115" i="11"/>
  <c r="B116" i="11"/>
  <c r="Q116" i="11"/>
  <c r="B117" i="11"/>
  <c r="Q117" i="11"/>
  <c r="B118" i="11"/>
  <c r="Q118" i="11"/>
  <c r="B119" i="11"/>
  <c r="Q119" i="11"/>
  <c r="B120" i="11"/>
  <c r="Q120" i="11"/>
  <c r="B121" i="11"/>
  <c r="Q121" i="11"/>
  <c r="B122" i="11"/>
  <c r="Q122" i="11"/>
  <c r="B123" i="11"/>
  <c r="Q123" i="11"/>
  <c r="B124" i="11"/>
  <c r="Q124" i="11"/>
  <c r="B125" i="11"/>
  <c r="Q125" i="11"/>
  <c r="B126" i="11"/>
  <c r="Q126" i="11"/>
  <c r="B127" i="11"/>
  <c r="Q127" i="11"/>
  <c r="B128" i="11"/>
  <c r="Q128" i="11"/>
  <c r="B129" i="11"/>
  <c r="Q129" i="11"/>
  <c r="B130" i="11"/>
  <c r="Q130" i="11"/>
  <c r="B131" i="11"/>
  <c r="Q131" i="11"/>
  <c r="B132" i="11"/>
  <c r="Q132" i="11"/>
  <c r="B133" i="11"/>
  <c r="Q133" i="11"/>
  <c r="B134" i="11"/>
  <c r="Q134" i="11"/>
  <c r="B135" i="11"/>
  <c r="Q135" i="11"/>
  <c r="B136" i="11"/>
  <c r="Q136" i="11"/>
  <c r="B137" i="11"/>
  <c r="Q137" i="11"/>
  <c r="B138" i="11"/>
  <c r="Q138" i="11"/>
  <c r="B139" i="11"/>
  <c r="Q139" i="11"/>
  <c r="B140" i="11"/>
  <c r="Q140" i="11"/>
  <c r="B141" i="11"/>
  <c r="Q141" i="11"/>
  <c r="B142" i="11"/>
  <c r="Q142" i="11"/>
  <c r="B143" i="11"/>
  <c r="Q143" i="11"/>
  <c r="B144" i="11"/>
  <c r="Q144" i="11"/>
  <c r="B145" i="11"/>
  <c r="Q145" i="11"/>
  <c r="B146" i="11"/>
  <c r="Q146" i="11"/>
  <c r="B147" i="11"/>
  <c r="Q147" i="11"/>
  <c r="B148" i="11"/>
  <c r="Q148" i="11"/>
  <c r="B149" i="11"/>
  <c r="Q149" i="11"/>
  <c r="B150" i="11"/>
  <c r="Q150" i="11"/>
  <c r="B151" i="11"/>
  <c r="Q151" i="11"/>
  <c r="B152" i="11"/>
  <c r="Q152" i="11"/>
  <c r="B153" i="11"/>
  <c r="Q153" i="11"/>
  <c r="B154" i="11"/>
  <c r="Q154" i="11"/>
  <c r="B155" i="11"/>
  <c r="Q155" i="11"/>
  <c r="B156" i="11"/>
  <c r="Q156" i="11"/>
  <c r="B157" i="11"/>
  <c r="Q157" i="11"/>
  <c r="B158" i="11"/>
  <c r="Q158" i="11"/>
  <c r="B159" i="11"/>
  <c r="Q159" i="11"/>
  <c r="B160" i="11"/>
  <c r="Q160" i="11"/>
  <c r="B161" i="11"/>
  <c r="Q161" i="11"/>
  <c r="B162" i="11"/>
  <c r="Q162" i="11"/>
  <c r="B163" i="11"/>
  <c r="Q163" i="11"/>
  <c r="B164" i="11"/>
  <c r="Q164" i="11"/>
  <c r="B165" i="11"/>
  <c r="Q165" i="11"/>
  <c r="B166" i="11"/>
  <c r="Q166" i="11"/>
  <c r="T433" i="16"/>
  <c r="Y433" i="16"/>
  <c r="T434" i="16"/>
  <c r="Y434" i="16"/>
  <c r="T435" i="16"/>
  <c r="Y435" i="16"/>
  <c r="T436" i="16"/>
  <c r="Y436" i="16"/>
  <c r="T437" i="16"/>
  <c r="Y437" i="16"/>
  <c r="T438" i="16"/>
  <c r="Y438" i="16"/>
  <c r="T439" i="16"/>
  <c r="Y439" i="16"/>
  <c r="T440" i="16"/>
  <c r="Y440" i="16"/>
  <c r="T441" i="16"/>
  <c r="Y441" i="16"/>
  <c r="T442" i="16"/>
  <c r="Y442" i="16"/>
  <c r="T443" i="16"/>
  <c r="Y443" i="16"/>
  <c r="T444" i="16"/>
  <c r="Y444" i="16"/>
  <c r="T445" i="16"/>
  <c r="Y445" i="16"/>
  <c r="T446" i="16"/>
  <c r="Y446" i="16"/>
  <c r="T447" i="16"/>
  <c r="Y447" i="16"/>
  <c r="T448" i="16"/>
  <c r="Y448" i="16"/>
  <c r="T449" i="16"/>
  <c r="Y449" i="16"/>
  <c r="T450" i="16"/>
  <c r="Y450" i="16"/>
  <c r="T451" i="16"/>
  <c r="Y451" i="16"/>
  <c r="T452" i="16"/>
  <c r="Y452" i="16"/>
  <c r="T453" i="16"/>
  <c r="Y453" i="16"/>
  <c r="T454" i="16"/>
  <c r="Y454" i="16"/>
  <c r="T455" i="16"/>
  <c r="Y455" i="16"/>
  <c r="T456" i="16"/>
  <c r="Y456" i="16"/>
  <c r="T457" i="16"/>
  <c r="Y457" i="16"/>
  <c r="T458" i="16"/>
  <c r="Y458" i="16"/>
  <c r="T459" i="16"/>
  <c r="Y459" i="16"/>
  <c r="T460" i="16"/>
  <c r="Y460" i="16"/>
  <c r="T461" i="16"/>
  <c r="Y461" i="16"/>
  <c r="T462" i="16"/>
  <c r="Y462" i="16"/>
  <c r="T463" i="16"/>
  <c r="Y463" i="16"/>
  <c r="T464" i="16"/>
  <c r="Y464" i="16"/>
  <c r="T465" i="16"/>
  <c r="Y465" i="16"/>
  <c r="T466" i="16"/>
  <c r="Y466" i="16"/>
  <c r="T467" i="16"/>
  <c r="Y467" i="16"/>
  <c r="T468" i="16"/>
  <c r="Y468" i="16"/>
  <c r="T469" i="16"/>
  <c r="Y469" i="16"/>
  <c r="T470" i="16"/>
  <c r="Y470" i="16"/>
  <c r="T471" i="16"/>
  <c r="Y471" i="16"/>
  <c r="T472" i="16"/>
  <c r="Y472" i="16"/>
  <c r="T473" i="16"/>
  <c r="Y473" i="16"/>
  <c r="T474" i="16"/>
  <c r="Y474" i="16"/>
  <c r="T475" i="16"/>
  <c r="Y475" i="16"/>
  <c r="T476" i="16"/>
  <c r="Y476" i="16"/>
  <c r="T477" i="16"/>
  <c r="Y477" i="16"/>
  <c r="T478" i="16"/>
  <c r="Y478" i="16"/>
  <c r="T479" i="16"/>
  <c r="Y479" i="16"/>
  <c r="T480" i="16"/>
  <c r="Y480" i="16"/>
  <c r="T481" i="16"/>
  <c r="Y481" i="16"/>
  <c r="T482" i="16"/>
  <c r="Y482" i="16"/>
  <c r="T483" i="16"/>
  <c r="Y483" i="16"/>
  <c r="T484" i="16"/>
  <c r="Y484" i="16"/>
  <c r="T485" i="16"/>
  <c r="Y485" i="16"/>
  <c r="T486" i="16"/>
  <c r="Y486" i="16"/>
  <c r="T487" i="16"/>
  <c r="Y487" i="16"/>
  <c r="T488" i="16"/>
  <c r="Y488" i="16"/>
  <c r="T489" i="16"/>
  <c r="Y489" i="16"/>
  <c r="T490" i="16"/>
  <c r="Y490" i="16"/>
  <c r="T491" i="16"/>
  <c r="Y491" i="16"/>
  <c r="T492" i="16"/>
  <c r="Y492" i="16"/>
  <c r="T493" i="16"/>
  <c r="Y493" i="16"/>
  <c r="T494" i="16"/>
  <c r="Y494" i="16"/>
  <c r="T495" i="16"/>
  <c r="Y495" i="16"/>
  <c r="T496" i="16"/>
  <c r="Y496" i="16"/>
  <c r="T497" i="16"/>
  <c r="Y497" i="16"/>
  <c r="T498" i="16"/>
  <c r="Y498" i="16"/>
  <c r="T499" i="16"/>
  <c r="Y499" i="16"/>
  <c r="T500" i="16"/>
  <c r="Y500" i="16"/>
  <c r="T501" i="16"/>
  <c r="Y501" i="16"/>
  <c r="T502" i="16"/>
  <c r="Y502" i="16"/>
  <c r="T503" i="16"/>
  <c r="Y503" i="16"/>
  <c r="T504" i="16"/>
  <c r="Y504" i="16"/>
  <c r="T505" i="16"/>
  <c r="Y505" i="16"/>
  <c r="T506" i="16"/>
  <c r="Y506" i="16"/>
  <c r="T533" i="16"/>
  <c r="Y533" i="16"/>
  <c r="T534" i="16"/>
  <c r="Y534" i="16"/>
  <c r="T535" i="16"/>
  <c r="Y535" i="16"/>
  <c r="T536" i="16"/>
  <c r="Y536" i="16"/>
  <c r="T537" i="16"/>
  <c r="Y537" i="16"/>
  <c r="T538" i="16"/>
  <c r="Y538" i="16"/>
  <c r="T539" i="16"/>
  <c r="Y539" i="16"/>
  <c r="T540" i="16"/>
  <c r="Y540" i="16"/>
  <c r="T541" i="16"/>
  <c r="Y541" i="16"/>
  <c r="T542" i="16"/>
  <c r="Y542" i="16"/>
  <c r="T543" i="16"/>
  <c r="Y543" i="16"/>
  <c r="T544" i="16"/>
  <c r="Y544" i="16"/>
  <c r="T545" i="16"/>
  <c r="Y545" i="16"/>
  <c r="T546" i="16"/>
  <c r="Y546" i="16"/>
  <c r="T547" i="16"/>
  <c r="Y547" i="16"/>
  <c r="R436" i="16"/>
  <c r="R437" i="16"/>
  <c r="R438" i="16"/>
  <c r="R439" i="16"/>
  <c r="R440" i="16"/>
  <c r="R441" i="16"/>
  <c r="R442" i="16"/>
  <c r="R443" i="16"/>
  <c r="R444" i="16"/>
  <c r="R445" i="16"/>
  <c r="R446" i="16"/>
  <c r="R447" i="16"/>
  <c r="R448" i="16"/>
  <c r="R449" i="16"/>
  <c r="R450" i="16"/>
  <c r="R451" i="16"/>
  <c r="R452" i="16"/>
  <c r="R453" i="16"/>
  <c r="R454" i="16"/>
  <c r="R455" i="16"/>
  <c r="R456" i="16"/>
  <c r="R457" i="16"/>
  <c r="R458" i="16"/>
  <c r="R459" i="16"/>
  <c r="R460" i="16"/>
  <c r="R461" i="16"/>
  <c r="R462" i="16"/>
  <c r="R463" i="16"/>
  <c r="R464" i="16"/>
  <c r="R465" i="16"/>
  <c r="R466" i="16"/>
  <c r="R467" i="16"/>
  <c r="R468" i="16"/>
  <c r="R469" i="16"/>
  <c r="R470" i="16"/>
  <c r="R471" i="16"/>
  <c r="R472" i="16"/>
  <c r="R473" i="16"/>
  <c r="R474" i="16"/>
  <c r="R475" i="16"/>
  <c r="R476" i="16"/>
  <c r="R477" i="16"/>
  <c r="R478" i="16"/>
  <c r="R479" i="16"/>
  <c r="R480" i="16"/>
  <c r="R481" i="16"/>
  <c r="R482" i="16"/>
  <c r="R483" i="16"/>
  <c r="R484" i="16"/>
  <c r="R485" i="16"/>
  <c r="R486" i="16"/>
  <c r="R487" i="16"/>
  <c r="R488" i="16"/>
  <c r="R489" i="16"/>
  <c r="R490" i="16"/>
  <c r="R491" i="16"/>
  <c r="R492" i="16"/>
  <c r="R493" i="16"/>
  <c r="R494" i="16"/>
  <c r="R495" i="16"/>
  <c r="R496" i="16"/>
  <c r="R497" i="16"/>
  <c r="R498" i="16"/>
  <c r="R499" i="16"/>
  <c r="R500" i="16"/>
  <c r="R501" i="16"/>
  <c r="R502" i="16"/>
  <c r="R503" i="16"/>
  <c r="R504" i="16"/>
  <c r="R505" i="16"/>
  <c r="R506" i="16"/>
  <c r="R533" i="16"/>
  <c r="R534" i="16"/>
  <c r="R535" i="16"/>
  <c r="R536" i="16"/>
  <c r="R537" i="16"/>
  <c r="R538" i="16"/>
  <c r="R539" i="16"/>
  <c r="R540" i="16"/>
  <c r="R541" i="16"/>
  <c r="R542" i="16"/>
  <c r="R543" i="16"/>
  <c r="R544" i="16"/>
  <c r="R545" i="16"/>
  <c r="R546" i="16"/>
  <c r="N27" i="49" l="1"/>
  <c r="N26" i="49"/>
  <c r="N29" i="49"/>
  <c r="N32" i="49"/>
  <c r="N28" i="49"/>
  <c r="N31" i="49"/>
  <c r="N30" i="49"/>
  <c r="P370" i="16"/>
  <c r="P371" i="16"/>
  <c r="P113" i="28"/>
  <c r="M112" i="28"/>
  <c r="M85" i="28"/>
  <c r="N37" i="28"/>
  <c r="P77" i="28"/>
  <c r="P104" i="28"/>
  <c r="P32" i="1"/>
  <c r="P72" i="1"/>
  <c r="P194" i="26"/>
  <c r="P257" i="1"/>
  <c r="P70" i="27"/>
  <c r="N161" i="16"/>
  <c r="N88" i="16"/>
  <c r="N157" i="28"/>
  <c r="N175" i="28"/>
  <c r="O156" i="28"/>
  <c r="O37" i="28" s="1"/>
  <c r="O174" i="28"/>
  <c r="M22" i="16"/>
  <c r="P137" i="28"/>
  <c r="P154" i="28"/>
  <c r="P172" i="28"/>
  <c r="P138" i="28"/>
  <c r="P12" i="28"/>
  <c r="O173" i="28"/>
  <c r="O155" i="28"/>
  <c r="M16" i="16"/>
  <c r="M23" i="28"/>
  <c r="I79" i="14"/>
  <c r="H79" i="14"/>
  <c r="G79" i="14"/>
  <c r="I78" i="14"/>
  <c r="H78" i="14"/>
  <c r="H86" i="38" s="1"/>
  <c r="G78" i="14"/>
  <c r="E150" i="16"/>
  <c r="E77" i="16"/>
  <c r="O30" i="49" l="1"/>
  <c r="O29" i="49"/>
  <c r="O27" i="49"/>
  <c r="O28" i="49"/>
  <c r="O31" i="49"/>
  <c r="O26" i="49"/>
  <c r="O32" i="49"/>
  <c r="N112" i="28"/>
  <c r="N85" i="28"/>
  <c r="O112" i="28"/>
  <c r="O85" i="28"/>
  <c r="I86" i="38"/>
  <c r="J86" i="38" s="1"/>
  <c r="K86" i="38" s="1"/>
  <c r="L86" i="38" s="1"/>
  <c r="M86" i="38" s="1"/>
  <c r="N86" i="38" s="1"/>
  <c r="O86" i="38" s="1"/>
  <c r="P86" i="38" s="1"/>
  <c r="O88" i="16"/>
  <c r="O161" i="16"/>
  <c r="P155" i="28"/>
  <c r="P173" i="28"/>
  <c r="N16" i="16"/>
  <c r="N22" i="16"/>
  <c r="P174" i="28"/>
  <c r="P156" i="28"/>
  <c r="P37" i="28" s="1"/>
  <c r="O157" i="28"/>
  <c r="O175" i="28"/>
  <c r="N23" i="28"/>
  <c r="R422" i="16"/>
  <c r="P112" i="28" l="1"/>
  <c r="P85" i="28"/>
  <c r="O22" i="16"/>
  <c r="P157" i="28"/>
  <c r="P175" i="28"/>
  <c r="P161" i="16"/>
  <c r="P88" i="16"/>
  <c r="O23" i="28"/>
  <c r="O16" i="16"/>
  <c r="P22" i="16" l="1"/>
  <c r="P23" i="28"/>
  <c r="P16" i="16"/>
  <c r="I89" i="3"/>
  <c r="I109" i="3" s="1"/>
  <c r="I110" i="3" s="1"/>
  <c r="I85" i="3"/>
  <c r="I103" i="3" s="1"/>
  <c r="I79" i="3"/>
  <c r="I95" i="3" s="1"/>
  <c r="E26" i="3"/>
  <c r="F26" i="3"/>
  <c r="G26" i="3"/>
  <c r="H26" i="3"/>
  <c r="I26" i="3"/>
  <c r="E12" i="3"/>
  <c r="F12" i="3"/>
  <c r="G12" i="3"/>
  <c r="H12" i="3"/>
  <c r="I12" i="3"/>
  <c r="B40" i="3"/>
  <c r="I70" i="3" s="1"/>
  <c r="B26" i="3"/>
  <c r="I99" i="3" l="1"/>
  <c r="I105" i="3"/>
  <c r="I104" i="3"/>
  <c r="I106" i="3" s="1"/>
  <c r="I98" i="3"/>
  <c r="I91" i="3"/>
  <c r="I97" i="3"/>
  <c r="I96" i="3"/>
  <c r="H37" i="24"/>
  <c r="I37" i="24" l="1"/>
  <c r="H30" i="26"/>
  <c r="I100" i="3"/>
  <c r="J37" i="24" l="1"/>
  <c r="K37" i="24" s="1"/>
  <c r="I30" i="26"/>
  <c r="F164" i="16"/>
  <c r="E164" i="16"/>
  <c r="F91" i="16"/>
  <c r="E91" i="16"/>
  <c r="J30" i="26" l="1"/>
  <c r="L37" i="24"/>
  <c r="K30" i="26"/>
  <c r="F95" i="26"/>
  <c r="E95" i="26"/>
  <c r="F94" i="26"/>
  <c r="E94" i="26"/>
  <c r="F93" i="26"/>
  <c r="E93" i="26"/>
  <c r="F92" i="26"/>
  <c r="E92" i="26"/>
  <c r="F91" i="26"/>
  <c r="E91" i="26"/>
  <c r="F90" i="26"/>
  <c r="E90" i="26"/>
  <c r="F89" i="26"/>
  <c r="E89" i="26"/>
  <c r="F88" i="26"/>
  <c r="E88" i="26"/>
  <c r="F84" i="26"/>
  <c r="E84" i="26"/>
  <c r="F83" i="26"/>
  <c r="E83" i="26"/>
  <c r="F82" i="26"/>
  <c r="E82" i="26"/>
  <c r="F81" i="26"/>
  <c r="E81" i="26"/>
  <c r="F80" i="26"/>
  <c r="E80" i="26"/>
  <c r="F79" i="26"/>
  <c r="E79" i="26"/>
  <c r="F78" i="26"/>
  <c r="E78" i="26"/>
  <c r="F77" i="26"/>
  <c r="E77" i="26"/>
  <c r="F73" i="26"/>
  <c r="E73" i="26"/>
  <c r="F72" i="26"/>
  <c r="E72" i="26"/>
  <c r="F71" i="26"/>
  <c r="E71" i="26"/>
  <c r="F70" i="26"/>
  <c r="E70" i="26"/>
  <c r="F69" i="26"/>
  <c r="E69" i="26"/>
  <c r="F68" i="26"/>
  <c r="E68" i="26"/>
  <c r="F67" i="26"/>
  <c r="E67" i="26"/>
  <c r="F62" i="26"/>
  <c r="E62" i="26"/>
  <c r="F61" i="26"/>
  <c r="E61" i="26"/>
  <c r="F60" i="26"/>
  <c r="E60" i="26"/>
  <c r="F59" i="26"/>
  <c r="E59" i="26"/>
  <c r="F58" i="26"/>
  <c r="E58" i="26"/>
  <c r="F57" i="26"/>
  <c r="E57" i="26"/>
  <c r="F56" i="26"/>
  <c r="E56" i="26"/>
  <c r="E76" i="27"/>
  <c r="E70" i="27"/>
  <c r="E69" i="27"/>
  <c r="E68" i="27"/>
  <c r="E61" i="27"/>
  <c r="E60" i="27"/>
  <c r="E59" i="27"/>
  <c r="E55" i="27"/>
  <c r="E54" i="27"/>
  <c r="E53" i="27"/>
  <c r="E12" i="27" l="1"/>
  <c r="M37" i="24"/>
  <c r="L30" i="26"/>
  <c r="E11" i="27"/>
  <c r="E23" i="28"/>
  <c r="F23" i="28"/>
  <c r="E10" i="27"/>
  <c r="H47" i="24"/>
  <c r="H43" i="24"/>
  <c r="H42" i="24"/>
  <c r="H33" i="27" s="1"/>
  <c r="H41" i="24"/>
  <c r="H40" i="24"/>
  <c r="H39" i="24"/>
  <c r="H38" i="24"/>
  <c r="H36" i="24"/>
  <c r="H35" i="24"/>
  <c r="H33" i="24"/>
  <c r="S47" i="24"/>
  <c r="S46" i="24"/>
  <c r="S45" i="24"/>
  <c r="S44" i="24"/>
  <c r="S43" i="24"/>
  <c r="S42" i="24"/>
  <c r="S41" i="24"/>
  <c r="S40" i="24"/>
  <c r="S39" i="24"/>
  <c r="S38" i="24"/>
  <c r="S37" i="24"/>
  <c r="S36" i="24"/>
  <c r="S35" i="24"/>
  <c r="S34" i="24"/>
  <c r="S33" i="24"/>
  <c r="E40" i="14"/>
  <c r="F40" i="14" s="1"/>
  <c r="G40" i="14" s="1"/>
  <c r="H40" i="14" s="1"/>
  <c r="I40" i="14" s="1"/>
  <c r="J40" i="14" s="1"/>
  <c r="F280" i="16"/>
  <c r="E280" i="16"/>
  <c r="F279" i="16"/>
  <c r="E279" i="16"/>
  <c r="F278" i="16"/>
  <c r="E278" i="16"/>
  <c r="F277" i="16"/>
  <c r="E277" i="16"/>
  <c r="F276" i="16"/>
  <c r="E276" i="16"/>
  <c r="F275" i="16"/>
  <c r="E275" i="16"/>
  <c r="H29" i="27" l="1"/>
  <c r="H36" i="27"/>
  <c r="H34" i="27"/>
  <c r="H31" i="27"/>
  <c r="H24" i="27"/>
  <c r="G38" i="27"/>
  <c r="F38" i="27"/>
  <c r="E38" i="27"/>
  <c r="H38" i="27"/>
  <c r="G37" i="27"/>
  <c r="F37" i="27"/>
  <c r="E37" i="27"/>
  <c r="H37" i="27"/>
  <c r="G36" i="27"/>
  <c r="F36" i="27"/>
  <c r="E36" i="27"/>
  <c r="E35" i="27"/>
  <c r="F35" i="27"/>
  <c r="G35" i="27"/>
  <c r="H35" i="27"/>
  <c r="F34" i="27"/>
  <c r="E34" i="27"/>
  <c r="G34" i="27"/>
  <c r="E33" i="27"/>
  <c r="G33" i="27"/>
  <c r="F33" i="27"/>
  <c r="G32" i="27"/>
  <c r="F32" i="27"/>
  <c r="E32" i="27"/>
  <c r="H32" i="27"/>
  <c r="G31" i="27"/>
  <c r="E31" i="27"/>
  <c r="F31" i="27"/>
  <c r="E30" i="27"/>
  <c r="G30" i="27"/>
  <c r="F30" i="27"/>
  <c r="H30" i="27"/>
  <c r="G29" i="27"/>
  <c r="E29" i="27"/>
  <c r="F29" i="27"/>
  <c r="G28" i="27"/>
  <c r="E28" i="27"/>
  <c r="F28" i="27"/>
  <c r="H28" i="27"/>
  <c r="I28" i="27"/>
  <c r="K28" i="27"/>
  <c r="J28" i="27"/>
  <c r="M28" i="27"/>
  <c r="L28" i="27"/>
  <c r="G27" i="27"/>
  <c r="E27" i="27"/>
  <c r="F27" i="27"/>
  <c r="H27" i="27"/>
  <c r="H26" i="27"/>
  <c r="E26" i="27"/>
  <c r="G26" i="27"/>
  <c r="F26" i="27"/>
  <c r="G25" i="27"/>
  <c r="E25" i="27"/>
  <c r="F25" i="27"/>
  <c r="H25" i="27"/>
  <c r="I25" i="27"/>
  <c r="J25" i="27"/>
  <c r="K25" i="27"/>
  <c r="L25" i="27"/>
  <c r="M25" i="27"/>
  <c r="N25" i="27"/>
  <c r="O25" i="27"/>
  <c r="P25" i="27"/>
  <c r="G24" i="27"/>
  <c r="E24" i="27"/>
  <c r="F24" i="27"/>
  <c r="K40" i="14"/>
  <c r="N37" i="24"/>
  <c r="N28" i="27" s="1"/>
  <c r="M30" i="26"/>
  <c r="H37" i="26"/>
  <c r="H29" i="26"/>
  <c r="H38" i="26"/>
  <c r="H31" i="26"/>
  <c r="H39" i="26"/>
  <c r="H33" i="26"/>
  <c r="H27" i="26"/>
  <c r="H26" i="26"/>
  <c r="H28" i="26"/>
  <c r="H32" i="26"/>
  <c r="H34" i="26"/>
  <c r="H36" i="26"/>
  <c r="H40" i="26"/>
  <c r="H35" i="26"/>
  <c r="E137" i="26"/>
  <c r="E126" i="26"/>
  <c r="E115" i="26"/>
  <c r="E104" i="26"/>
  <c r="E141" i="26"/>
  <c r="E130" i="26"/>
  <c r="E119" i="26"/>
  <c r="E108" i="26"/>
  <c r="E120" i="26"/>
  <c r="E109" i="26"/>
  <c r="E142" i="26"/>
  <c r="E131" i="26"/>
  <c r="I47" i="24"/>
  <c r="I38" i="27" s="1"/>
  <c r="E135" i="26"/>
  <c r="E124" i="26"/>
  <c r="E113" i="26"/>
  <c r="E102" i="26"/>
  <c r="E139" i="26"/>
  <c r="E128" i="26"/>
  <c r="E117" i="26"/>
  <c r="E106" i="26"/>
  <c r="E138" i="26"/>
  <c r="E127" i="26"/>
  <c r="E116" i="26"/>
  <c r="E105" i="26"/>
  <c r="E136" i="26"/>
  <c r="E125" i="26"/>
  <c r="E114" i="26"/>
  <c r="E103" i="26"/>
  <c r="E140" i="26"/>
  <c r="E129" i="26"/>
  <c r="E118" i="26"/>
  <c r="E107" i="26"/>
  <c r="F136" i="26"/>
  <c r="F125" i="26"/>
  <c r="F114" i="26"/>
  <c r="F103" i="26"/>
  <c r="F138" i="26"/>
  <c r="F127" i="26"/>
  <c r="F116" i="26"/>
  <c r="F105" i="26"/>
  <c r="F140" i="26"/>
  <c r="F129" i="26"/>
  <c r="F118" i="26"/>
  <c r="F107" i="26"/>
  <c r="F142" i="26"/>
  <c r="F131" i="26"/>
  <c r="F120" i="26"/>
  <c r="F109" i="26"/>
  <c r="F135" i="26"/>
  <c r="F124" i="26"/>
  <c r="F113" i="26"/>
  <c r="F102" i="26"/>
  <c r="F137" i="26"/>
  <c r="F126" i="26"/>
  <c r="F115" i="26"/>
  <c r="F104" i="26"/>
  <c r="F139" i="26"/>
  <c r="F128" i="26"/>
  <c r="F117" i="26"/>
  <c r="F106" i="26"/>
  <c r="F141" i="26"/>
  <c r="F130" i="26"/>
  <c r="F119" i="26"/>
  <c r="F108" i="26"/>
  <c r="G23" i="28"/>
  <c r="I36" i="27"/>
  <c r="I35" i="27"/>
  <c r="I43" i="24"/>
  <c r="I34" i="27" s="1"/>
  <c r="I42" i="24"/>
  <c r="I33" i="27" s="1"/>
  <c r="I41" i="24"/>
  <c r="I32" i="27" s="1"/>
  <c r="I40" i="24"/>
  <c r="I31" i="27" s="1"/>
  <c r="I39" i="24"/>
  <c r="I30" i="27" s="1"/>
  <c r="I38" i="24"/>
  <c r="I29" i="27" s="1"/>
  <c r="I36" i="24"/>
  <c r="I27" i="27" s="1"/>
  <c r="I35" i="24"/>
  <c r="I26" i="27" s="1"/>
  <c r="I33" i="24"/>
  <c r="I24" i="27" s="1"/>
  <c r="I32" i="3"/>
  <c r="H32" i="3"/>
  <c r="G32" i="3"/>
  <c r="F32" i="3"/>
  <c r="E32" i="3"/>
  <c r="I31" i="3"/>
  <c r="H31" i="3"/>
  <c r="G31" i="3"/>
  <c r="F31" i="3"/>
  <c r="E31" i="3"/>
  <c r="I30" i="3"/>
  <c r="H30" i="3"/>
  <c r="G30" i="3"/>
  <c r="F30" i="3"/>
  <c r="E30" i="3"/>
  <c r="I29" i="3"/>
  <c r="H29" i="3"/>
  <c r="G29" i="3"/>
  <c r="F29" i="3"/>
  <c r="E29" i="3"/>
  <c r="I28" i="3"/>
  <c r="H28" i="3"/>
  <c r="G28" i="3"/>
  <c r="F28" i="3"/>
  <c r="E28" i="3"/>
  <c r="I27" i="3"/>
  <c r="H27" i="3"/>
  <c r="G27" i="3"/>
  <c r="F27" i="3"/>
  <c r="E27" i="3"/>
  <c r="I25" i="3"/>
  <c r="H25" i="3"/>
  <c r="G25" i="3"/>
  <c r="F25" i="3"/>
  <c r="E25" i="3"/>
  <c r="I24" i="3"/>
  <c r="H24" i="3"/>
  <c r="G24" i="3"/>
  <c r="F24" i="3"/>
  <c r="E24" i="3"/>
  <c r="I23" i="3"/>
  <c r="H23" i="3"/>
  <c r="G23" i="3"/>
  <c r="F23" i="3"/>
  <c r="E23" i="3"/>
  <c r="I22" i="3"/>
  <c r="I18" i="24" s="1"/>
  <c r="H22" i="3"/>
  <c r="H18" i="24" s="1"/>
  <c r="G22" i="3"/>
  <c r="G18" i="24" s="1"/>
  <c r="F22" i="3"/>
  <c r="F18" i="24" s="1"/>
  <c r="F39" i="27" s="1"/>
  <c r="E22" i="3"/>
  <c r="E18" i="24" s="1"/>
  <c r="E39" i="27" s="1"/>
  <c r="I18" i="3"/>
  <c r="H18" i="3"/>
  <c r="G18" i="3"/>
  <c r="F18" i="3"/>
  <c r="E18" i="3"/>
  <c r="I17" i="3"/>
  <c r="H17" i="3"/>
  <c r="G17" i="3"/>
  <c r="F17" i="3"/>
  <c r="E17" i="3"/>
  <c r="I16" i="3"/>
  <c r="H16" i="3"/>
  <c r="G16" i="3"/>
  <c r="F16" i="3"/>
  <c r="E16" i="3"/>
  <c r="I15" i="3"/>
  <c r="H15" i="3"/>
  <c r="G15" i="3"/>
  <c r="F15" i="3"/>
  <c r="E15" i="3"/>
  <c r="I14" i="3"/>
  <c r="H14" i="3"/>
  <c r="G14" i="3"/>
  <c r="F14" i="3"/>
  <c r="E14" i="3"/>
  <c r="I13" i="3"/>
  <c r="H13" i="3"/>
  <c r="G13" i="3"/>
  <c r="F13" i="3"/>
  <c r="E13" i="3"/>
  <c r="I11" i="3"/>
  <c r="H11" i="3"/>
  <c r="G11" i="3"/>
  <c r="F11" i="3"/>
  <c r="E11" i="3"/>
  <c r="I10" i="3"/>
  <c r="H10" i="3"/>
  <c r="G10" i="3"/>
  <c r="F10" i="3"/>
  <c r="E10" i="3"/>
  <c r="I8" i="3"/>
  <c r="I17" i="24" s="1"/>
  <c r="H8" i="3"/>
  <c r="H17" i="24" s="1"/>
  <c r="G8" i="3"/>
  <c r="G17" i="24" s="1"/>
  <c r="F8" i="3"/>
  <c r="F17" i="24" s="1"/>
  <c r="F41" i="26" s="1"/>
  <c r="F83" i="16" s="1"/>
  <c r="E8" i="3"/>
  <c r="E17" i="24" s="1"/>
  <c r="E41" i="26" s="1"/>
  <c r="E83" i="16" s="1"/>
  <c r="E156" i="16" l="1"/>
  <c r="F156" i="16"/>
  <c r="I37" i="27"/>
  <c r="L40" i="14"/>
  <c r="J47" i="24"/>
  <c r="J38" i="27" s="1"/>
  <c r="J36" i="27"/>
  <c r="J35" i="27"/>
  <c r="J43" i="24"/>
  <c r="J34" i="27" s="1"/>
  <c r="J42" i="24"/>
  <c r="J33" i="27" s="1"/>
  <c r="J41" i="24"/>
  <c r="J32" i="27" s="1"/>
  <c r="J40" i="24"/>
  <c r="J31" i="27" s="1"/>
  <c r="J39" i="24"/>
  <c r="J30" i="27" s="1"/>
  <c r="J38" i="24"/>
  <c r="J29" i="27" s="1"/>
  <c r="O37" i="24"/>
  <c r="O28" i="27" s="1"/>
  <c r="N30" i="26"/>
  <c r="J36" i="24"/>
  <c r="J27" i="27" s="1"/>
  <c r="J35" i="24"/>
  <c r="J26" i="27" s="1"/>
  <c r="G13" i="24"/>
  <c r="J33" i="24"/>
  <c r="J24" i="27" s="1"/>
  <c r="F13" i="24"/>
  <c r="E13" i="24"/>
  <c r="I27" i="26"/>
  <c r="I32" i="26"/>
  <c r="I31" i="26"/>
  <c r="I33" i="26"/>
  <c r="I39" i="26"/>
  <c r="I34" i="26"/>
  <c r="I35" i="26"/>
  <c r="I26" i="26"/>
  <c r="I36" i="26"/>
  <c r="I28" i="26"/>
  <c r="I37" i="26"/>
  <c r="I29" i="26"/>
  <c r="I38" i="26"/>
  <c r="I40" i="26"/>
  <c r="J37" i="27" l="1"/>
  <c r="J39" i="26"/>
  <c r="M40" i="14"/>
  <c r="J40" i="26"/>
  <c r="K47" i="24"/>
  <c r="K38" i="27" s="1"/>
  <c r="J38" i="26"/>
  <c r="K36" i="27"/>
  <c r="J37" i="26"/>
  <c r="K35" i="27"/>
  <c r="K43" i="24"/>
  <c r="K34" i="27" s="1"/>
  <c r="J36" i="26"/>
  <c r="K42" i="24"/>
  <c r="K33" i="27" s="1"/>
  <c r="J35" i="26"/>
  <c r="J34" i="26"/>
  <c r="K41" i="24"/>
  <c r="K32" i="27" s="1"/>
  <c r="K40" i="24"/>
  <c r="K31" i="27" s="1"/>
  <c r="J33" i="26"/>
  <c r="K39" i="24"/>
  <c r="K30" i="27" s="1"/>
  <c r="J32" i="26"/>
  <c r="K38" i="24"/>
  <c r="K29" i="27" s="1"/>
  <c r="J31" i="26"/>
  <c r="P37" i="24"/>
  <c r="P28" i="27" s="1"/>
  <c r="O30" i="26"/>
  <c r="K36" i="24"/>
  <c r="K27" i="27" s="1"/>
  <c r="J29" i="26"/>
  <c r="J28" i="26"/>
  <c r="K35" i="24"/>
  <c r="K26" i="27" s="1"/>
  <c r="J26" i="26"/>
  <c r="K33" i="24"/>
  <c r="K24" i="27" s="1"/>
  <c r="J27" i="26"/>
  <c r="J49" i="24"/>
  <c r="H23" i="28"/>
  <c r="K37" i="27" l="1"/>
  <c r="K39" i="26"/>
  <c r="N40" i="14"/>
  <c r="K40" i="26"/>
  <c r="L47" i="24"/>
  <c r="L38" i="27" s="1"/>
  <c r="K38" i="26"/>
  <c r="L36" i="27"/>
  <c r="L35" i="27"/>
  <c r="K37" i="26"/>
  <c r="L43" i="24"/>
  <c r="L34" i="27" s="1"/>
  <c r="K36" i="26"/>
  <c r="L42" i="24"/>
  <c r="L33" i="27" s="1"/>
  <c r="K35" i="26"/>
  <c r="L41" i="24"/>
  <c r="L32" i="27" s="1"/>
  <c r="K34" i="26"/>
  <c r="L40" i="24"/>
  <c r="L31" i="27" s="1"/>
  <c r="K33" i="26"/>
  <c r="L39" i="24"/>
  <c r="L30" i="27" s="1"/>
  <c r="K32" i="26"/>
  <c r="L38" i="24"/>
  <c r="L29" i="27" s="1"/>
  <c r="K31" i="26"/>
  <c r="P30" i="26"/>
  <c r="L36" i="24"/>
  <c r="L27" i="27" s="1"/>
  <c r="K29" i="26"/>
  <c r="L35" i="24"/>
  <c r="L26" i="27" s="1"/>
  <c r="K28" i="26"/>
  <c r="L33" i="24"/>
  <c r="L24" i="27" s="1"/>
  <c r="K26" i="26"/>
  <c r="J13" i="24"/>
  <c r="J12" i="24"/>
  <c r="K27" i="26"/>
  <c r="K49" i="24"/>
  <c r="I23" i="28"/>
  <c r="L37" i="27" l="1"/>
  <c r="L39" i="26"/>
  <c r="O40" i="14"/>
  <c r="L40" i="26"/>
  <c r="M47" i="24"/>
  <c r="M38" i="27" s="1"/>
  <c r="M36" i="27"/>
  <c r="L38" i="26"/>
  <c r="M35" i="27"/>
  <c r="L37" i="26"/>
  <c r="M43" i="24"/>
  <c r="M34" i="27" s="1"/>
  <c r="L36" i="26"/>
  <c r="M42" i="24"/>
  <c r="M33" i="27" s="1"/>
  <c r="L35" i="26"/>
  <c r="M41" i="24"/>
  <c r="M32" i="27" s="1"/>
  <c r="L34" i="26"/>
  <c r="M40" i="24"/>
  <c r="M31" i="27" s="1"/>
  <c r="L33" i="26"/>
  <c r="L32" i="26"/>
  <c r="M39" i="24"/>
  <c r="M30" i="27" s="1"/>
  <c r="L31" i="26"/>
  <c r="M38" i="24"/>
  <c r="M29" i="27" s="1"/>
  <c r="M36" i="24"/>
  <c r="M27" i="27" s="1"/>
  <c r="L29" i="26"/>
  <c r="M35" i="24"/>
  <c r="M26" i="27" s="1"/>
  <c r="L28" i="26"/>
  <c r="L26" i="26"/>
  <c r="M33" i="24"/>
  <c r="M24" i="27" s="1"/>
  <c r="K12" i="24"/>
  <c r="L27" i="26"/>
  <c r="L49" i="24"/>
  <c r="K13" i="24"/>
  <c r="J14" i="24"/>
  <c r="R551" i="16"/>
  <c r="R552" i="16"/>
  <c r="R553" i="16"/>
  <c r="R554" i="16"/>
  <c r="R555" i="16"/>
  <c r="R556" i="16"/>
  <c r="R557" i="16"/>
  <c r="R558" i="16"/>
  <c r="R559" i="16"/>
  <c r="M37" i="27" l="1"/>
  <c r="M39" i="26"/>
  <c r="P40" i="14"/>
  <c r="M40" i="26"/>
  <c r="N47" i="24"/>
  <c r="N38" i="27" s="1"/>
  <c r="N36" i="27"/>
  <c r="M38" i="26"/>
  <c r="N35" i="27"/>
  <c r="M37" i="26"/>
  <c r="N43" i="24"/>
  <c r="N34" i="27" s="1"/>
  <c r="M36" i="26"/>
  <c r="N42" i="24"/>
  <c r="N33" i="27" s="1"/>
  <c r="M35" i="26"/>
  <c r="N41" i="24"/>
  <c r="N32" i="27" s="1"/>
  <c r="M34" i="26"/>
  <c r="N40" i="24"/>
  <c r="N31" i="27" s="1"/>
  <c r="M33" i="26"/>
  <c r="M32" i="26"/>
  <c r="N39" i="24"/>
  <c r="N30" i="27" s="1"/>
  <c r="N38" i="24"/>
  <c r="N29" i="27" s="1"/>
  <c r="M31" i="26"/>
  <c r="N36" i="24"/>
  <c r="N27" i="27" s="1"/>
  <c r="M29" i="26"/>
  <c r="N35" i="24"/>
  <c r="N26" i="27" s="1"/>
  <c r="M28" i="26"/>
  <c r="M26" i="26"/>
  <c r="N33" i="24"/>
  <c r="N24" i="27" s="1"/>
  <c r="L12" i="24"/>
  <c r="L13" i="24"/>
  <c r="M27" i="26"/>
  <c r="M49" i="24"/>
  <c r="K14" i="24"/>
  <c r="N37" i="27" l="1"/>
  <c r="N39" i="26"/>
  <c r="O47" i="24"/>
  <c r="O38" i="27" s="1"/>
  <c r="N40" i="26"/>
  <c r="O36" i="27"/>
  <c r="N38" i="26"/>
  <c r="O35" i="27"/>
  <c r="N37" i="26"/>
  <c r="O43" i="24"/>
  <c r="O34" i="27" s="1"/>
  <c r="N36" i="26"/>
  <c r="O42" i="24"/>
  <c r="O33" i="27" s="1"/>
  <c r="N35" i="26"/>
  <c r="O41" i="24"/>
  <c r="O32" i="27" s="1"/>
  <c r="N34" i="26"/>
  <c r="O40" i="24"/>
  <c r="O31" i="27" s="1"/>
  <c r="N33" i="26"/>
  <c r="O39" i="24"/>
  <c r="O30" i="27" s="1"/>
  <c r="N32" i="26"/>
  <c r="O38" i="24"/>
  <c r="O29" i="27" s="1"/>
  <c r="N31" i="26"/>
  <c r="O36" i="24"/>
  <c r="O27" i="27" s="1"/>
  <c r="N29" i="26"/>
  <c r="O35" i="24"/>
  <c r="O26" i="27" s="1"/>
  <c r="N28" i="26"/>
  <c r="N26" i="26"/>
  <c r="O33" i="24"/>
  <c r="O24" i="27" s="1"/>
  <c r="M13" i="24"/>
  <c r="N27" i="26"/>
  <c r="N49" i="24"/>
  <c r="M12" i="24"/>
  <c r="L14" i="24"/>
  <c r="E57" i="14"/>
  <c r="O37" i="27" l="1"/>
  <c r="O39" i="26"/>
  <c r="P47" i="24"/>
  <c r="P38" i="27" s="1"/>
  <c r="O40" i="26"/>
  <c r="P36" i="27"/>
  <c r="O38" i="26"/>
  <c r="P35" i="27"/>
  <c r="O37" i="26"/>
  <c r="P43" i="24"/>
  <c r="P34" i="27" s="1"/>
  <c r="O36" i="26"/>
  <c r="P42" i="24"/>
  <c r="P33" i="27" s="1"/>
  <c r="O35" i="26"/>
  <c r="P41" i="24"/>
  <c r="P32" i="27" s="1"/>
  <c r="O34" i="26"/>
  <c r="P40" i="24"/>
  <c r="P31" i="27" s="1"/>
  <c r="O33" i="26"/>
  <c r="P39" i="24"/>
  <c r="P30" i="27" s="1"/>
  <c r="O32" i="26"/>
  <c r="P38" i="24"/>
  <c r="P29" i="27" s="1"/>
  <c r="O31" i="26"/>
  <c r="P36" i="24"/>
  <c r="P27" i="27" s="1"/>
  <c r="O29" i="26"/>
  <c r="P35" i="24"/>
  <c r="P26" i="27" s="1"/>
  <c r="O28" i="26"/>
  <c r="M14" i="24"/>
  <c r="O26" i="26"/>
  <c r="P33" i="24"/>
  <c r="P24" i="27" s="1"/>
  <c r="N13" i="24"/>
  <c r="N12" i="24"/>
  <c r="O27" i="26"/>
  <c r="O49" i="24"/>
  <c r="Q142" i="38"/>
  <c r="Q141" i="38"/>
  <c r="Q140" i="38"/>
  <c r="Q139" i="38"/>
  <c r="Q138" i="38"/>
  <c r="Q137" i="38"/>
  <c r="Q136" i="38"/>
  <c r="Q135" i="38"/>
  <c r="Q134" i="38"/>
  <c r="Q133" i="38"/>
  <c r="Q132" i="38"/>
  <c r="Q131" i="38"/>
  <c r="Q130" i="38"/>
  <c r="Q129" i="38"/>
  <c r="Q128" i="38"/>
  <c r="Q127" i="38"/>
  <c r="Q126" i="38"/>
  <c r="Q125" i="38"/>
  <c r="Q124" i="38"/>
  <c r="Q123" i="38"/>
  <c r="Q122" i="38"/>
  <c r="Q121" i="38"/>
  <c r="Q120" i="38"/>
  <c r="Q119" i="38"/>
  <c r="Q118" i="38"/>
  <c r="Q117" i="38"/>
  <c r="Q116" i="38"/>
  <c r="Q115" i="38"/>
  <c r="Q114" i="38"/>
  <c r="Q113" i="38"/>
  <c r="Q112" i="38"/>
  <c r="Q111" i="38"/>
  <c r="Q110" i="38"/>
  <c r="Q109" i="38"/>
  <c r="Q108" i="38"/>
  <c r="Q107" i="38"/>
  <c r="Q106" i="38"/>
  <c r="Q105" i="38"/>
  <c r="Q104" i="38"/>
  <c r="Q103" i="38"/>
  <c r="Q102" i="38"/>
  <c r="Q101" i="38"/>
  <c r="Q100" i="38"/>
  <c r="Q99" i="38"/>
  <c r="Q98" i="38"/>
  <c r="Q97" i="38"/>
  <c r="Q96" i="38"/>
  <c r="Q95" i="38"/>
  <c r="Q94" i="38"/>
  <c r="Q93" i="38"/>
  <c r="B141" i="38"/>
  <c r="B140" i="38"/>
  <c r="B139" i="38"/>
  <c r="B138" i="38"/>
  <c r="B137" i="38"/>
  <c r="B136" i="38"/>
  <c r="B135" i="38"/>
  <c r="B134" i="38"/>
  <c r="B133" i="38"/>
  <c r="B132" i="38"/>
  <c r="B131" i="38"/>
  <c r="B130" i="38"/>
  <c r="B129" i="38"/>
  <c r="B128" i="38"/>
  <c r="B127" i="38"/>
  <c r="B126" i="38"/>
  <c r="B125" i="38"/>
  <c r="B124" i="38"/>
  <c r="B123" i="38"/>
  <c r="B122" i="38"/>
  <c r="B121" i="38"/>
  <c r="B120" i="38"/>
  <c r="B119" i="38"/>
  <c r="B118" i="38"/>
  <c r="B117" i="38"/>
  <c r="B116" i="38"/>
  <c r="B115" i="38"/>
  <c r="B114" i="38"/>
  <c r="B113" i="38"/>
  <c r="B112" i="38"/>
  <c r="B111" i="38"/>
  <c r="B110" i="38"/>
  <c r="B109" i="38"/>
  <c r="B108" i="38"/>
  <c r="B107" i="38"/>
  <c r="B106" i="38"/>
  <c r="B105" i="38"/>
  <c r="B104" i="38"/>
  <c r="B103" i="38"/>
  <c r="B102" i="38"/>
  <c r="B101" i="38"/>
  <c r="B100" i="38"/>
  <c r="B99" i="38"/>
  <c r="B98" i="38"/>
  <c r="B97" i="38"/>
  <c r="B96" i="38"/>
  <c r="B95" i="38"/>
  <c r="B94" i="38"/>
  <c r="B93" i="38"/>
  <c r="Q66" i="38"/>
  <c r="Q65" i="38"/>
  <c r="Q64" i="38"/>
  <c r="Q63" i="38"/>
  <c r="Q62" i="38"/>
  <c r="Q61" i="38"/>
  <c r="Q60" i="38"/>
  <c r="Q59" i="38"/>
  <c r="Q58" i="38"/>
  <c r="Q57" i="38"/>
  <c r="Q56" i="38"/>
  <c r="Q55" i="38"/>
  <c r="Q54" i="38"/>
  <c r="Q53" i="38"/>
  <c r="Q52" i="38"/>
  <c r="Q51" i="38"/>
  <c r="Q50" i="38"/>
  <c r="Q49" i="38"/>
  <c r="Q48" i="38"/>
  <c r="Q47" i="38"/>
  <c r="Q46" i="38"/>
  <c r="Q45" i="38"/>
  <c r="Q44" i="38"/>
  <c r="Q43" i="38"/>
  <c r="Q42" i="38"/>
  <c r="Q41" i="38"/>
  <c r="Q40" i="38"/>
  <c r="Q39" i="38"/>
  <c r="Q38" i="38"/>
  <c r="Q37" i="38"/>
  <c r="Q36" i="38"/>
  <c r="Q35" i="38"/>
  <c r="Q34" i="38"/>
  <c r="Q33" i="38"/>
  <c r="Q32" i="38"/>
  <c r="Q31" i="38"/>
  <c r="Q30" i="38"/>
  <c r="Q29" i="38"/>
  <c r="Q28" i="38"/>
  <c r="Q27" i="38"/>
  <c r="Q26" i="38"/>
  <c r="Q25" i="38"/>
  <c r="Q24" i="38"/>
  <c r="Q23" i="38"/>
  <c r="Q22" i="38"/>
  <c r="Q21" i="38"/>
  <c r="Q20" i="38"/>
  <c r="Q19" i="38"/>
  <c r="Q18" i="38"/>
  <c r="Q17" i="38"/>
  <c r="B66" i="38"/>
  <c r="B65" i="38"/>
  <c r="B64" i="38"/>
  <c r="B63" i="38"/>
  <c r="B62" i="38"/>
  <c r="B61" i="38"/>
  <c r="B60" i="38"/>
  <c r="B59" i="38"/>
  <c r="B58" i="38"/>
  <c r="B57" i="38"/>
  <c r="B56" i="38"/>
  <c r="B55" i="38"/>
  <c r="B54" i="38"/>
  <c r="B53" i="38"/>
  <c r="B52" i="38"/>
  <c r="B51" i="38"/>
  <c r="B50" i="38"/>
  <c r="B49" i="38"/>
  <c r="B48" i="38"/>
  <c r="B47" i="38"/>
  <c r="B46" i="38"/>
  <c r="B45" i="38"/>
  <c r="B44" i="38"/>
  <c r="B43" i="38"/>
  <c r="B42" i="38"/>
  <c r="B41" i="38"/>
  <c r="B40" i="38"/>
  <c r="B39" i="38"/>
  <c r="B38" i="38"/>
  <c r="B37" i="38"/>
  <c r="B36" i="38"/>
  <c r="B35" i="38"/>
  <c r="B34" i="38"/>
  <c r="B33" i="38"/>
  <c r="B32" i="38"/>
  <c r="B31" i="38"/>
  <c r="B30" i="38"/>
  <c r="B29" i="38"/>
  <c r="B28" i="38"/>
  <c r="B27" i="38"/>
  <c r="B26" i="38"/>
  <c r="B25" i="38"/>
  <c r="B24" i="38"/>
  <c r="B23" i="38"/>
  <c r="B22" i="38"/>
  <c r="B21" i="38"/>
  <c r="B20" i="38"/>
  <c r="B19" i="38"/>
  <c r="B18" i="38"/>
  <c r="B17" i="38"/>
  <c r="Q193" i="11"/>
  <c r="B193" i="11"/>
  <c r="Q17" i="11"/>
  <c r="B17" i="11"/>
  <c r="I605" i="16"/>
  <c r="I604" i="16"/>
  <c r="J604" i="16" s="1"/>
  <c r="K604" i="16" s="1"/>
  <c r="L604" i="16" s="1"/>
  <c r="M604" i="16" s="1"/>
  <c r="N604" i="16" s="1"/>
  <c r="O604" i="16" s="1"/>
  <c r="P604" i="16" s="1"/>
  <c r="Q604" i="16" s="1"/>
  <c r="Y598" i="16"/>
  <c r="T598" i="16"/>
  <c r="R598" i="16"/>
  <c r="Y597" i="16"/>
  <c r="T597" i="16"/>
  <c r="R597" i="16"/>
  <c r="Y596" i="16"/>
  <c r="T596" i="16"/>
  <c r="R596" i="16"/>
  <c r="Y595" i="16"/>
  <c r="T595" i="16"/>
  <c r="R595" i="16"/>
  <c r="Y594" i="16"/>
  <c r="T594" i="16"/>
  <c r="R594" i="16"/>
  <c r="Y593" i="16"/>
  <c r="T593" i="16"/>
  <c r="R593" i="16"/>
  <c r="Y592" i="16"/>
  <c r="T592" i="16"/>
  <c r="R592" i="16"/>
  <c r="Y591" i="16"/>
  <c r="T591" i="16"/>
  <c r="R591" i="16"/>
  <c r="Y590" i="16"/>
  <c r="T590" i="16"/>
  <c r="R590" i="16"/>
  <c r="Y589" i="16"/>
  <c r="T589" i="16"/>
  <c r="R589" i="16"/>
  <c r="Y588" i="16"/>
  <c r="T588" i="16"/>
  <c r="R588" i="16"/>
  <c r="Y587" i="16"/>
  <c r="T587" i="16"/>
  <c r="R587" i="16"/>
  <c r="Y586" i="16"/>
  <c r="T586" i="16"/>
  <c r="R586" i="16"/>
  <c r="Y585" i="16"/>
  <c r="T585" i="16"/>
  <c r="R585" i="16"/>
  <c r="Y584" i="16"/>
  <c r="T584" i="16"/>
  <c r="R584" i="16"/>
  <c r="Y583" i="16"/>
  <c r="T583" i="16"/>
  <c r="R583" i="16"/>
  <c r="Y582" i="16"/>
  <c r="T582" i="16"/>
  <c r="R582" i="16"/>
  <c r="Y581" i="16"/>
  <c r="T581" i="16"/>
  <c r="R581" i="16"/>
  <c r="Y580" i="16"/>
  <c r="T580" i="16"/>
  <c r="R580" i="16"/>
  <c r="Y579" i="16"/>
  <c r="T579" i="16"/>
  <c r="R579" i="16"/>
  <c r="Y578" i="16"/>
  <c r="T578" i="16"/>
  <c r="R578" i="16"/>
  <c r="Y577" i="16"/>
  <c r="T577" i="16"/>
  <c r="R577" i="16"/>
  <c r="Y576" i="16"/>
  <c r="T576" i="16"/>
  <c r="R576" i="16"/>
  <c r="Y575" i="16"/>
  <c r="T575" i="16"/>
  <c r="R575" i="16"/>
  <c r="Y574" i="16"/>
  <c r="T574" i="16"/>
  <c r="R574" i="16"/>
  <c r="Y573" i="16"/>
  <c r="T573" i="16"/>
  <c r="R573" i="16"/>
  <c r="Y572" i="16"/>
  <c r="T572" i="16"/>
  <c r="R572" i="16"/>
  <c r="Y571" i="16"/>
  <c r="T571" i="16"/>
  <c r="R571" i="16"/>
  <c r="Y570" i="16"/>
  <c r="T570" i="16"/>
  <c r="R570" i="16"/>
  <c r="Y569" i="16"/>
  <c r="T569" i="16"/>
  <c r="Y568" i="16"/>
  <c r="T568" i="16"/>
  <c r="R568" i="16"/>
  <c r="Y567" i="16"/>
  <c r="T567" i="16"/>
  <c r="R567" i="16"/>
  <c r="Y566" i="16"/>
  <c r="T566" i="16"/>
  <c r="R566" i="16"/>
  <c r="Y565" i="16"/>
  <c r="T565" i="16"/>
  <c r="R565" i="16"/>
  <c r="Y564" i="16"/>
  <c r="T564" i="16"/>
  <c r="R564" i="16"/>
  <c r="Y563" i="16"/>
  <c r="T563" i="16"/>
  <c r="R563" i="16"/>
  <c r="Y562" i="16"/>
  <c r="T562" i="16"/>
  <c r="R562" i="16"/>
  <c r="Y561" i="16"/>
  <c r="T561" i="16"/>
  <c r="R561" i="16"/>
  <c r="Y560" i="16"/>
  <c r="T560" i="16"/>
  <c r="R560" i="16"/>
  <c r="Y559" i="16"/>
  <c r="T559" i="16"/>
  <c r="Y558" i="16"/>
  <c r="T558" i="16"/>
  <c r="Y557" i="16"/>
  <c r="T557" i="16"/>
  <c r="Y556" i="16"/>
  <c r="T556" i="16"/>
  <c r="Y555" i="16"/>
  <c r="T555" i="16"/>
  <c r="Y554" i="16"/>
  <c r="T554" i="16"/>
  <c r="Y553" i="16"/>
  <c r="T553" i="16"/>
  <c r="Y552" i="16"/>
  <c r="T552" i="16"/>
  <c r="Y551" i="16"/>
  <c r="T551" i="16"/>
  <c r="Y550" i="16"/>
  <c r="T550" i="16"/>
  <c r="R550" i="16"/>
  <c r="Y549" i="16"/>
  <c r="T549" i="16"/>
  <c r="R549" i="16"/>
  <c r="R547" i="16"/>
  <c r="R435" i="16"/>
  <c r="R434" i="16"/>
  <c r="R433" i="16"/>
  <c r="Y432" i="16"/>
  <c r="T432" i="16"/>
  <c r="R432" i="16"/>
  <c r="Y431" i="16"/>
  <c r="T431" i="16"/>
  <c r="R431" i="16"/>
  <c r="Y430" i="16"/>
  <c r="T430" i="16"/>
  <c r="R430" i="16"/>
  <c r="Y429" i="16"/>
  <c r="T429" i="16"/>
  <c r="R429" i="16"/>
  <c r="Y428" i="16"/>
  <c r="T428" i="16"/>
  <c r="R428" i="16"/>
  <c r="Y427" i="16"/>
  <c r="T427" i="16"/>
  <c r="R427" i="16"/>
  <c r="Y426" i="16"/>
  <c r="T426" i="16"/>
  <c r="R426" i="16"/>
  <c r="Y425" i="16"/>
  <c r="T425" i="16"/>
  <c r="R425" i="16"/>
  <c r="Y424" i="16"/>
  <c r="T424" i="16"/>
  <c r="R424" i="16"/>
  <c r="Y423" i="16"/>
  <c r="T423" i="16"/>
  <c r="R423" i="16"/>
  <c r="Y422" i="16"/>
  <c r="T422" i="16"/>
  <c r="Y421" i="16"/>
  <c r="T421" i="16"/>
  <c r="R421" i="16"/>
  <c r="Y420" i="16"/>
  <c r="T420" i="16"/>
  <c r="R420" i="16"/>
  <c r="Y419" i="16"/>
  <c r="T419" i="16"/>
  <c r="R419" i="16"/>
  <c r="Y418" i="16"/>
  <c r="T418" i="16"/>
  <c r="R418" i="16"/>
  <c r="Y417" i="16"/>
  <c r="T417" i="16"/>
  <c r="R417" i="16"/>
  <c r="Y416" i="16"/>
  <c r="T416" i="16"/>
  <c r="R416" i="16"/>
  <c r="Y415" i="16"/>
  <c r="T415" i="16"/>
  <c r="R415" i="16"/>
  <c r="Y414" i="16"/>
  <c r="T414" i="16"/>
  <c r="R414" i="16"/>
  <c r="Y413" i="16"/>
  <c r="T413" i="16"/>
  <c r="R413" i="16"/>
  <c r="Y412" i="16"/>
  <c r="T412" i="16"/>
  <c r="R412" i="16"/>
  <c r="Y411" i="16"/>
  <c r="T411" i="16"/>
  <c r="R411" i="16"/>
  <c r="Y410" i="16"/>
  <c r="T410" i="16"/>
  <c r="R410" i="16"/>
  <c r="Y409" i="16"/>
  <c r="T409" i="16"/>
  <c r="R409" i="16"/>
  <c r="Y408" i="16"/>
  <c r="T408" i="16"/>
  <c r="R408" i="16"/>
  <c r="Y407" i="16"/>
  <c r="T407" i="16"/>
  <c r="R407" i="16"/>
  <c r="Y406" i="16"/>
  <c r="T406" i="16"/>
  <c r="R406" i="16"/>
  <c r="Y405" i="16"/>
  <c r="T405" i="16"/>
  <c r="R405" i="16"/>
  <c r="Y404" i="16"/>
  <c r="T404" i="16"/>
  <c r="R404" i="16"/>
  <c r="Y403" i="16"/>
  <c r="T403" i="16"/>
  <c r="R403" i="16"/>
  <c r="Y402" i="16"/>
  <c r="T402" i="16"/>
  <c r="R402" i="16"/>
  <c r="Y401" i="16"/>
  <c r="T401" i="16"/>
  <c r="R401" i="16"/>
  <c r="Y400" i="16"/>
  <c r="T400" i="16"/>
  <c r="R400" i="16"/>
  <c r="Y399" i="16"/>
  <c r="T399" i="16"/>
  <c r="R399" i="16"/>
  <c r="Y398" i="16"/>
  <c r="T398" i="16"/>
  <c r="R398" i="16"/>
  <c r="P37" i="27" l="1"/>
  <c r="P39" i="26"/>
  <c r="L360" i="11"/>
  <c r="L361" i="11"/>
  <c r="K360" i="11"/>
  <c r="L362" i="11"/>
  <c r="M360" i="11"/>
  <c r="N362" i="11"/>
  <c r="M361" i="11"/>
  <c r="N361" i="11"/>
  <c r="O361" i="11"/>
  <c r="O362" i="11"/>
  <c r="J360" i="11"/>
  <c r="P361" i="11"/>
  <c r="O360" i="11"/>
  <c r="P362" i="11"/>
  <c r="N360" i="11"/>
  <c r="K361" i="11"/>
  <c r="P360" i="11"/>
  <c r="J362" i="11"/>
  <c r="K362" i="11"/>
  <c r="J361" i="11"/>
  <c r="M362" i="11"/>
  <c r="K368" i="11"/>
  <c r="K371" i="11"/>
  <c r="P372" i="11"/>
  <c r="N369" i="11"/>
  <c r="P370" i="11"/>
  <c r="L369" i="11"/>
  <c r="L371" i="11"/>
  <c r="J371" i="11"/>
  <c r="O370" i="11"/>
  <c r="J372" i="11"/>
  <c r="P369" i="11"/>
  <c r="K369" i="11"/>
  <c r="M370" i="11"/>
  <c r="L370" i="11"/>
  <c r="J370" i="11"/>
  <c r="N371" i="11"/>
  <c r="N372" i="11"/>
  <c r="J369" i="11"/>
  <c r="L372" i="11"/>
  <c r="O368" i="11"/>
  <c r="O372" i="11"/>
  <c r="L368" i="11"/>
  <c r="M372" i="11"/>
  <c r="K370" i="11"/>
  <c r="J368" i="11"/>
  <c r="K372" i="11"/>
  <c r="N370" i="11"/>
  <c r="M371" i="11"/>
  <c r="N368" i="11"/>
  <c r="P368" i="11"/>
  <c r="O371" i="11"/>
  <c r="M368" i="11"/>
  <c r="O369" i="11"/>
  <c r="P371" i="11"/>
  <c r="M369" i="11"/>
  <c r="J160" i="38"/>
  <c r="K161" i="38"/>
  <c r="P161" i="38"/>
  <c r="K160" i="38"/>
  <c r="L161" i="38"/>
  <c r="L160" i="38"/>
  <c r="M161" i="38"/>
  <c r="M160" i="38"/>
  <c r="N161" i="38"/>
  <c r="N160" i="38"/>
  <c r="O161" i="38"/>
  <c r="O160" i="38"/>
  <c r="P160" i="38"/>
  <c r="J161" i="38"/>
  <c r="L166" i="38"/>
  <c r="M167" i="38"/>
  <c r="N168" i="38"/>
  <c r="M166" i="38"/>
  <c r="N167" i="38"/>
  <c r="O168" i="38"/>
  <c r="N166" i="38"/>
  <c r="O167" i="38"/>
  <c r="P168" i="38"/>
  <c r="O166" i="38"/>
  <c r="P167" i="38"/>
  <c r="J167" i="38"/>
  <c r="P166" i="38"/>
  <c r="J168" i="38"/>
  <c r="K168" i="38"/>
  <c r="J166" i="38"/>
  <c r="K167" i="38"/>
  <c r="L168" i="38"/>
  <c r="K166" i="38"/>
  <c r="L167" i="38"/>
  <c r="M168" i="38"/>
  <c r="J129" i="3"/>
  <c r="K130" i="3"/>
  <c r="L131" i="3"/>
  <c r="K129" i="3"/>
  <c r="L130" i="3"/>
  <c r="M131" i="3"/>
  <c r="H130" i="3"/>
  <c r="L129" i="3"/>
  <c r="M130" i="3"/>
  <c r="N131" i="3"/>
  <c r="M129" i="3"/>
  <c r="N130" i="3"/>
  <c r="I131" i="3"/>
  <c r="N129" i="3"/>
  <c r="H131" i="3"/>
  <c r="H129" i="3"/>
  <c r="I130" i="3"/>
  <c r="J131" i="3"/>
  <c r="I129" i="3"/>
  <c r="J130" i="3"/>
  <c r="K131" i="3"/>
  <c r="J121" i="3"/>
  <c r="K122" i="3"/>
  <c r="L123" i="3"/>
  <c r="M124" i="3"/>
  <c r="N125" i="3"/>
  <c r="H122" i="3"/>
  <c r="I122" i="3"/>
  <c r="L125" i="3"/>
  <c r="J122" i="3"/>
  <c r="K123" i="3"/>
  <c r="K121" i="3"/>
  <c r="L122" i="3"/>
  <c r="M123" i="3"/>
  <c r="N124" i="3"/>
  <c r="I123" i="3"/>
  <c r="K125" i="3"/>
  <c r="J123" i="3"/>
  <c r="K124" i="3"/>
  <c r="I121" i="3"/>
  <c r="L124" i="3"/>
  <c r="L121" i="3"/>
  <c r="M122" i="3"/>
  <c r="N123" i="3"/>
  <c r="H125" i="3"/>
  <c r="J124" i="3"/>
  <c r="M125" i="3"/>
  <c r="M121" i="3"/>
  <c r="N122" i="3"/>
  <c r="H124" i="3"/>
  <c r="I125" i="3"/>
  <c r="H121" i="3"/>
  <c r="N121" i="3"/>
  <c r="H123" i="3"/>
  <c r="I124" i="3"/>
  <c r="J125" i="3"/>
  <c r="P40" i="26"/>
  <c r="P38" i="26"/>
  <c r="P37" i="26"/>
  <c r="P36" i="26"/>
  <c r="P35" i="26"/>
  <c r="P34" i="26"/>
  <c r="P33" i="26"/>
  <c r="P32" i="26"/>
  <c r="P31" i="26"/>
  <c r="P29" i="26"/>
  <c r="P28" i="26"/>
  <c r="P26" i="26"/>
  <c r="O13" i="24"/>
  <c r="O12" i="24"/>
  <c r="P27" i="26"/>
  <c r="P49" i="24"/>
  <c r="N14" i="24"/>
  <c r="R569" i="16"/>
  <c r="G130" i="3"/>
  <c r="F131" i="3"/>
  <c r="E129" i="3"/>
  <c r="G131" i="3"/>
  <c r="F129" i="3"/>
  <c r="E130" i="3"/>
  <c r="G129" i="3"/>
  <c r="F130" i="3"/>
  <c r="E131" i="3"/>
  <c r="F124" i="3"/>
  <c r="G121" i="3"/>
  <c r="G124" i="3"/>
  <c r="E121" i="3"/>
  <c r="E122" i="3"/>
  <c r="G123" i="3"/>
  <c r="E125" i="3"/>
  <c r="F121" i="3"/>
  <c r="F122" i="3"/>
  <c r="F125" i="3"/>
  <c r="E123" i="3"/>
  <c r="G125" i="3"/>
  <c r="G122" i="3"/>
  <c r="F123" i="3"/>
  <c r="E124" i="3"/>
  <c r="L373" i="11" l="1"/>
  <c r="O373" i="11"/>
  <c r="J378" i="11"/>
  <c r="P379" i="11"/>
  <c r="J373" i="11"/>
  <c r="P373" i="11"/>
  <c r="O377" i="11"/>
  <c r="N379" i="11"/>
  <c r="K379" i="11"/>
  <c r="P378" i="11"/>
  <c r="K373" i="11"/>
  <c r="J379" i="11"/>
  <c r="J377" i="11"/>
  <c r="M377" i="11"/>
  <c r="M373" i="11"/>
  <c r="O379" i="11"/>
  <c r="L379" i="11"/>
  <c r="P377" i="11"/>
  <c r="O378" i="11"/>
  <c r="K377" i="11"/>
  <c r="K378" i="11"/>
  <c r="N378" i="11"/>
  <c r="L378" i="11"/>
  <c r="N373" i="11"/>
  <c r="M379" i="11"/>
  <c r="N377" i="11"/>
  <c r="M378" i="11"/>
  <c r="L377" i="11"/>
  <c r="M174" i="38"/>
  <c r="N174" i="38"/>
  <c r="L174" i="38"/>
  <c r="J169" i="38"/>
  <c r="H132" i="3"/>
  <c r="K169" i="38"/>
  <c r="M132" i="3"/>
  <c r="O174" i="38"/>
  <c r="I132" i="3"/>
  <c r="N132" i="3"/>
  <c r="K132" i="3"/>
  <c r="P169" i="38"/>
  <c r="L173" i="38"/>
  <c r="L169" i="38"/>
  <c r="J132" i="3"/>
  <c r="N169" i="38"/>
  <c r="P173" i="38"/>
  <c r="O169" i="38"/>
  <c r="O173" i="38"/>
  <c r="K173" i="38"/>
  <c r="L132" i="3"/>
  <c r="P174" i="38"/>
  <c r="J174" i="38"/>
  <c r="M173" i="38"/>
  <c r="M169" i="38"/>
  <c r="N173" i="38"/>
  <c r="K174" i="38"/>
  <c r="J173" i="38"/>
  <c r="H126" i="3"/>
  <c r="M126" i="3"/>
  <c r="L126" i="3"/>
  <c r="N126" i="3"/>
  <c r="I126" i="3"/>
  <c r="K126" i="3"/>
  <c r="J126" i="3"/>
  <c r="O14" i="24"/>
  <c r="P12" i="24"/>
  <c r="P13" i="24"/>
  <c r="E18" i="14"/>
  <c r="E12" i="14"/>
  <c r="I134" i="3" l="1"/>
  <c r="I147" i="3" s="1"/>
  <c r="H134" i="3"/>
  <c r="H135" i="3" s="1"/>
  <c r="N134" i="3"/>
  <c r="N135" i="3" s="1"/>
  <c r="M134" i="3"/>
  <c r="M149" i="3" s="1"/>
  <c r="K134" i="3"/>
  <c r="K149" i="3" s="1"/>
  <c r="L134" i="3"/>
  <c r="L139" i="3" s="1"/>
  <c r="J134" i="3"/>
  <c r="J140" i="3" s="1"/>
  <c r="P14" i="24"/>
  <c r="G79" i="16"/>
  <c r="K148" i="3" l="1"/>
  <c r="H140" i="3"/>
  <c r="H148" i="3"/>
  <c r="H143" i="3"/>
  <c r="H149" i="3"/>
  <c r="H139" i="3"/>
  <c r="H141" i="3"/>
  <c r="H142" i="3"/>
  <c r="H147" i="3"/>
  <c r="I143" i="3"/>
  <c r="N149" i="3"/>
  <c r="N139" i="3"/>
  <c r="L147" i="3"/>
  <c r="N148" i="3"/>
  <c r="N140" i="3"/>
  <c r="I148" i="3"/>
  <c r="I140" i="3"/>
  <c r="I141" i="3"/>
  <c r="I149" i="3"/>
  <c r="I142" i="3"/>
  <c r="I139" i="3"/>
  <c r="I135" i="3"/>
  <c r="N147" i="3"/>
  <c r="N143" i="3"/>
  <c r="N142" i="3"/>
  <c r="L135" i="3"/>
  <c r="L143" i="3"/>
  <c r="K140" i="3"/>
  <c r="K142" i="3"/>
  <c r="J135" i="3"/>
  <c r="J147" i="3"/>
  <c r="N141" i="3"/>
  <c r="M142" i="3"/>
  <c r="M135" i="3"/>
  <c r="M147" i="3"/>
  <c r="M139" i="3"/>
  <c r="M143" i="3"/>
  <c r="M141" i="3"/>
  <c r="M140" i="3"/>
  <c r="M148" i="3"/>
  <c r="L149" i="3"/>
  <c r="L140" i="3"/>
  <c r="L148" i="3"/>
  <c r="L142" i="3"/>
  <c r="L141" i="3"/>
  <c r="K143" i="3"/>
  <c r="K141" i="3"/>
  <c r="K139" i="3"/>
  <c r="K135" i="3"/>
  <c r="K147" i="3"/>
  <c r="J143" i="3"/>
  <c r="J141" i="3"/>
  <c r="J142" i="3"/>
  <c r="J139" i="3"/>
  <c r="J148" i="3"/>
  <c r="J149" i="3"/>
  <c r="G104" i="1"/>
  <c r="H144" i="3" l="1"/>
  <c r="H150" i="3"/>
  <c r="K150" i="3"/>
  <c r="N150" i="3"/>
  <c r="N144" i="3"/>
  <c r="I144" i="3"/>
  <c r="M150" i="3"/>
  <c r="I150" i="3"/>
  <c r="M144" i="3"/>
  <c r="L144" i="3"/>
  <c r="L150" i="3"/>
  <c r="K144" i="3"/>
  <c r="J150" i="3"/>
  <c r="J144" i="3"/>
  <c r="G388" i="1"/>
  <c r="G384" i="1"/>
  <c r="G389" i="1"/>
  <c r="G386" i="1"/>
  <c r="G387" i="1"/>
  <c r="G382" i="1"/>
  <c r="G390" i="1"/>
  <c r="G385" i="1"/>
  <c r="G383" i="1"/>
  <c r="J89" i="3"/>
  <c r="J109" i="3" s="1"/>
  <c r="J110" i="3" s="1"/>
  <c r="J85" i="3"/>
  <c r="J104" i="3" s="1"/>
  <c r="J79" i="3"/>
  <c r="J95" i="3" s="1"/>
  <c r="E39" i="14"/>
  <c r="F39" i="14" s="1"/>
  <c r="E63" i="14"/>
  <c r="E48" i="14" s="1"/>
  <c r="F17" i="14"/>
  <c r="F16" i="14"/>
  <c r="F15" i="14"/>
  <c r="F11" i="14"/>
  <c r="F55" i="27" s="1"/>
  <c r="F10" i="14"/>
  <c r="F54" i="27" s="1"/>
  <c r="F9" i="14"/>
  <c r="E540" i="1"/>
  <c r="F540" i="1" s="1"/>
  <c r="F541" i="1" s="1"/>
  <c r="G376" i="16"/>
  <c r="G380" i="16"/>
  <c r="G382" i="16" s="1"/>
  <c r="E7" i="16"/>
  <c r="F148" i="26"/>
  <c r="F149" i="26" s="1"/>
  <c r="E18" i="27"/>
  <c r="E148" i="26"/>
  <c r="E149" i="26" s="1"/>
  <c r="H115" i="1"/>
  <c r="I115" i="1" s="1"/>
  <c r="J115" i="1" s="1"/>
  <c r="K115" i="1" s="1"/>
  <c r="L115" i="1" s="1"/>
  <c r="M115" i="1" s="1"/>
  <c r="N115" i="1" s="1"/>
  <c r="O115" i="1" s="1"/>
  <c r="P115" i="1" s="1"/>
  <c r="I113" i="1"/>
  <c r="J113" i="1" s="1"/>
  <c r="K113" i="1" s="1"/>
  <c r="L113" i="1" s="1"/>
  <c r="M113" i="1" s="1"/>
  <c r="N113" i="1" s="1"/>
  <c r="O113" i="1" s="1"/>
  <c r="P113" i="1" s="1"/>
  <c r="I112" i="1"/>
  <c r="J112" i="1" s="1"/>
  <c r="K112" i="1" s="1"/>
  <c r="L112" i="1" s="1"/>
  <c r="M112" i="1" s="1"/>
  <c r="N112" i="1" s="1"/>
  <c r="O112" i="1" s="1"/>
  <c r="P112" i="1" s="1"/>
  <c r="G372" i="16"/>
  <c r="H372" i="16" s="1"/>
  <c r="F118" i="1"/>
  <c r="F56" i="1" s="1"/>
  <c r="G56" i="1" s="1"/>
  <c r="H56" i="1" s="1"/>
  <c r="I56" i="1" s="1"/>
  <c r="J56" i="1" s="1"/>
  <c r="K56" i="1" s="1"/>
  <c r="L56" i="1" s="1"/>
  <c r="M56" i="1" s="1"/>
  <c r="N56" i="1" s="1"/>
  <c r="O56" i="1" s="1"/>
  <c r="P56" i="1" s="1"/>
  <c r="G377" i="16"/>
  <c r="F120" i="1"/>
  <c r="G263" i="16"/>
  <c r="G264" i="16"/>
  <c r="G265" i="16"/>
  <c r="G275" i="16" s="1"/>
  <c r="G266" i="16"/>
  <c r="G267" i="16"/>
  <c r="G277" i="16" s="1"/>
  <c r="G268" i="16"/>
  <c r="G278" i="16" s="1"/>
  <c r="G269" i="16"/>
  <c r="G279" i="16" s="1"/>
  <c r="G270" i="16"/>
  <c r="G280" i="16" s="1"/>
  <c r="C223" i="1"/>
  <c r="B223" i="1"/>
  <c r="C224" i="1"/>
  <c r="B224" i="1"/>
  <c r="C225" i="1"/>
  <c r="B225" i="1"/>
  <c r="C226" i="1"/>
  <c r="C227" i="1"/>
  <c r="C228" i="1"/>
  <c r="B228" i="1"/>
  <c r="C229" i="1"/>
  <c r="C233" i="1"/>
  <c r="C144" i="1" s="1"/>
  <c r="B233" i="1"/>
  <c r="C234" i="1"/>
  <c r="C145" i="1" s="1"/>
  <c r="B234" i="1"/>
  <c r="C235" i="1"/>
  <c r="B235" i="1"/>
  <c r="C236" i="1"/>
  <c r="B236" i="1"/>
  <c r="C237" i="1"/>
  <c r="B237" i="1"/>
  <c r="C242" i="1"/>
  <c r="B242" i="1"/>
  <c r="C243" i="1"/>
  <c r="B243" i="1"/>
  <c r="C244" i="1"/>
  <c r="C155" i="1" s="1"/>
  <c r="B244" i="1"/>
  <c r="C245" i="1"/>
  <c r="B245" i="1"/>
  <c r="C246" i="1"/>
  <c r="B246" i="1"/>
  <c r="C251" i="1"/>
  <c r="B251" i="1"/>
  <c r="C252" i="1"/>
  <c r="B252" i="1"/>
  <c r="C253" i="1"/>
  <c r="B253" i="1"/>
  <c r="C254" i="1"/>
  <c r="B254" i="1"/>
  <c r="C255" i="1"/>
  <c r="B255" i="1"/>
  <c r="F379" i="1"/>
  <c r="C263" i="1"/>
  <c r="B263" i="1"/>
  <c r="C264" i="1"/>
  <c r="C173" i="1" s="1"/>
  <c r="C265" i="1"/>
  <c r="B265" i="1"/>
  <c r="C266" i="1"/>
  <c r="C267" i="1"/>
  <c r="C268" i="1"/>
  <c r="C273" i="1"/>
  <c r="B273" i="1"/>
  <c r="C274" i="1"/>
  <c r="C183" i="1" s="1"/>
  <c r="B274" i="1"/>
  <c r="C275" i="1"/>
  <c r="C184" i="1" s="1"/>
  <c r="B275" i="1"/>
  <c r="C276" i="1"/>
  <c r="C185" i="1" s="1"/>
  <c r="B276" i="1"/>
  <c r="C277" i="1"/>
  <c r="B277" i="1"/>
  <c r="F403" i="1"/>
  <c r="C282" i="1"/>
  <c r="B282" i="1"/>
  <c r="C283" i="1"/>
  <c r="B283" i="1"/>
  <c r="C284" i="1"/>
  <c r="B284" i="1"/>
  <c r="C285" i="1"/>
  <c r="B285" i="1"/>
  <c r="C286" i="1"/>
  <c r="B286" i="1"/>
  <c r="F415" i="1"/>
  <c r="C291" i="1"/>
  <c r="B291" i="1"/>
  <c r="C292" i="1"/>
  <c r="B292" i="1"/>
  <c r="C293" i="1"/>
  <c r="B293" i="1"/>
  <c r="C294" i="1"/>
  <c r="B294" i="1"/>
  <c r="C295" i="1"/>
  <c r="B295" i="1"/>
  <c r="I118" i="1"/>
  <c r="J118" i="1" s="1"/>
  <c r="K118" i="1" s="1"/>
  <c r="L118" i="1" s="1"/>
  <c r="M118" i="1" s="1"/>
  <c r="N118" i="1" s="1"/>
  <c r="O118" i="1" s="1"/>
  <c r="P118" i="1" s="1"/>
  <c r="I120" i="1"/>
  <c r="E79" i="3"/>
  <c r="E97" i="3" s="1"/>
  <c r="F79" i="3"/>
  <c r="F97" i="3" s="1"/>
  <c r="G79" i="3"/>
  <c r="G98" i="3" s="1"/>
  <c r="H79" i="3"/>
  <c r="H95" i="3" s="1"/>
  <c r="K79" i="3"/>
  <c r="K95" i="3" s="1"/>
  <c r="L79" i="3"/>
  <c r="L95" i="3" s="1"/>
  <c r="M79" i="3"/>
  <c r="M95" i="3" s="1"/>
  <c r="N79" i="3"/>
  <c r="N95" i="3" s="1"/>
  <c r="O79" i="3"/>
  <c r="O98" i="3" s="1"/>
  <c r="J96" i="3"/>
  <c r="J97" i="3"/>
  <c r="E85" i="3"/>
  <c r="E103" i="3" s="1"/>
  <c r="F85" i="3"/>
  <c r="G85" i="3"/>
  <c r="H85" i="3"/>
  <c r="H103" i="3" s="1"/>
  <c r="K85" i="3"/>
  <c r="K104" i="3" s="1"/>
  <c r="L85" i="3"/>
  <c r="L105" i="3" s="1"/>
  <c r="M85" i="3"/>
  <c r="M104" i="3" s="1"/>
  <c r="N85" i="3"/>
  <c r="N105" i="3" s="1"/>
  <c r="O85" i="3"/>
  <c r="O104" i="3" s="1"/>
  <c r="H103" i="1"/>
  <c r="F391" i="1"/>
  <c r="F12" i="1"/>
  <c r="F18" i="1"/>
  <c r="F19" i="1"/>
  <c r="H104" i="1"/>
  <c r="H105" i="1"/>
  <c r="H106" i="1"/>
  <c r="E84" i="1"/>
  <c r="G87" i="38"/>
  <c r="G187" i="11"/>
  <c r="F117" i="1"/>
  <c r="F119" i="1"/>
  <c r="G108" i="1"/>
  <c r="G420" i="1" s="1"/>
  <c r="F122" i="1"/>
  <c r="G122" i="1" s="1"/>
  <c r="H122" i="1" s="1"/>
  <c r="I122" i="1" s="1"/>
  <c r="J122" i="1" s="1"/>
  <c r="K122" i="1" s="1"/>
  <c r="L122" i="1" s="1"/>
  <c r="M122" i="1" s="1"/>
  <c r="N122" i="1" s="1"/>
  <c r="O122" i="1" s="1"/>
  <c r="P122" i="1" s="1"/>
  <c r="I117" i="1"/>
  <c r="J117" i="1" s="1"/>
  <c r="K117" i="1" s="1"/>
  <c r="L117" i="1" s="1"/>
  <c r="M117" i="1" s="1"/>
  <c r="N117" i="1" s="1"/>
  <c r="O117" i="1" s="1"/>
  <c r="P117" i="1" s="1"/>
  <c r="C269" i="1"/>
  <c r="I119" i="1"/>
  <c r="C278" i="1"/>
  <c r="C187" i="1" s="1"/>
  <c r="C287" i="1"/>
  <c r="C296" i="1"/>
  <c r="C238" i="1"/>
  <c r="C247" i="1"/>
  <c r="C256" i="1"/>
  <c r="E432" i="1"/>
  <c r="E431" i="1"/>
  <c r="E430" i="1"/>
  <c r="E429" i="1"/>
  <c r="E428" i="1"/>
  <c r="E427" i="1"/>
  <c r="E426" i="1"/>
  <c r="E425" i="1"/>
  <c r="E424" i="1"/>
  <c r="B46" i="3"/>
  <c r="O70" i="3" s="1"/>
  <c r="B45" i="3"/>
  <c r="N70" i="3" s="1"/>
  <c r="B44" i="3"/>
  <c r="M70" i="3" s="1"/>
  <c r="B43" i="3"/>
  <c r="L70" i="3" s="1"/>
  <c r="B42" i="3"/>
  <c r="K70" i="3" s="1"/>
  <c r="B41" i="3"/>
  <c r="J70" i="3" s="1"/>
  <c r="B39" i="3"/>
  <c r="H70" i="3" s="1"/>
  <c r="B38" i="3"/>
  <c r="G70" i="3" s="1"/>
  <c r="B37" i="3"/>
  <c r="F70" i="3" s="1"/>
  <c r="B36" i="3"/>
  <c r="E70" i="3" s="1"/>
  <c r="B32" i="3"/>
  <c r="B31" i="3"/>
  <c r="B30" i="3"/>
  <c r="B29" i="3"/>
  <c r="B28" i="3"/>
  <c r="B27" i="3"/>
  <c r="B25" i="3"/>
  <c r="B24" i="3"/>
  <c r="B23" i="3"/>
  <c r="B22" i="3"/>
  <c r="E190" i="11"/>
  <c r="K89" i="3"/>
  <c r="K109" i="3" s="1"/>
  <c r="K110" i="3" s="1"/>
  <c r="H89" i="3"/>
  <c r="H109" i="3" s="1"/>
  <c r="H110" i="3" s="1"/>
  <c r="G89" i="3"/>
  <c r="G109" i="3" s="1"/>
  <c r="G110" i="3" s="1"/>
  <c r="F89" i="3"/>
  <c r="F109" i="3" s="1"/>
  <c r="F110" i="3" s="1"/>
  <c r="E89" i="3"/>
  <c r="E109" i="3" s="1"/>
  <c r="E110" i="3" s="1"/>
  <c r="L89" i="3"/>
  <c r="M89" i="3"/>
  <c r="M109" i="3" s="1"/>
  <c r="M110" i="3" s="1"/>
  <c r="N89" i="3"/>
  <c r="N109" i="3" s="1"/>
  <c r="N110" i="3" s="1"/>
  <c r="O89" i="3"/>
  <c r="O109" i="3" s="1"/>
  <c r="O110" i="3" s="1"/>
  <c r="F43" i="16"/>
  <c r="G43" i="16" s="1"/>
  <c r="F116" i="16"/>
  <c r="G116" i="16" s="1"/>
  <c r="H116" i="16" s="1"/>
  <c r="I116" i="16" s="1"/>
  <c r="I33" i="3"/>
  <c r="H33" i="3"/>
  <c r="G33" i="3"/>
  <c r="F33" i="3"/>
  <c r="E33" i="3"/>
  <c r="I19" i="3"/>
  <c r="H19" i="3"/>
  <c r="G19" i="3"/>
  <c r="F19" i="3"/>
  <c r="E19" i="3"/>
  <c r="E42" i="14"/>
  <c r="E27" i="14"/>
  <c r="G148" i="26"/>
  <c r="G149" i="26" s="1"/>
  <c r="F647" i="1"/>
  <c r="F648" i="1" s="1"/>
  <c r="F421" i="1"/>
  <c r="E421" i="1"/>
  <c r="E44" i="1"/>
  <c r="F38" i="16"/>
  <c r="G38" i="16" s="1"/>
  <c r="G111" i="16" s="1"/>
  <c r="E184" i="16"/>
  <c r="E111" i="16"/>
  <c r="F150" i="16"/>
  <c r="G150" i="16" s="1"/>
  <c r="H150" i="16" s="1"/>
  <c r="I150" i="16" s="1"/>
  <c r="J150" i="16" s="1"/>
  <c r="K150" i="16" s="1"/>
  <c r="L150" i="16" s="1"/>
  <c r="M150" i="16" s="1"/>
  <c r="N150" i="16" s="1"/>
  <c r="O150" i="16" s="1"/>
  <c r="P150" i="16" s="1"/>
  <c r="F77" i="16"/>
  <c r="G77" i="16" s="1"/>
  <c r="H77" i="16" s="1"/>
  <c r="I77" i="16" s="1"/>
  <c r="J77" i="16" s="1"/>
  <c r="K77" i="16" s="1"/>
  <c r="L77" i="16" s="1"/>
  <c r="M77" i="16" s="1"/>
  <c r="N77" i="16" s="1"/>
  <c r="O77" i="16" s="1"/>
  <c r="P77" i="16" s="1"/>
  <c r="C303" i="1"/>
  <c r="C210" i="1" s="1"/>
  <c r="B296" i="1"/>
  <c r="B287" i="1"/>
  <c r="B278" i="1"/>
  <c r="E364" i="1"/>
  <c r="E480" i="1" s="1"/>
  <c r="F480" i="1" s="1"/>
  <c r="G480" i="1" s="1"/>
  <c r="H480" i="1" s="1"/>
  <c r="E328" i="1"/>
  <c r="E443" i="1" s="1"/>
  <c r="F443" i="1" s="1"/>
  <c r="E340" i="1"/>
  <c r="E458" i="1" s="1"/>
  <c r="F458" i="1" s="1"/>
  <c r="E352" i="1"/>
  <c r="E471" i="1" s="1"/>
  <c r="F471" i="1" s="1"/>
  <c r="E415" i="1"/>
  <c r="E526" i="1" s="1"/>
  <c r="F526" i="1" s="1"/>
  <c r="E403" i="1"/>
  <c r="E516" i="1" s="1"/>
  <c r="F516" i="1" s="1"/>
  <c r="G516" i="1" s="1"/>
  <c r="H516" i="1" s="1"/>
  <c r="I516" i="1" s="1"/>
  <c r="J516" i="1" s="1"/>
  <c r="K516" i="1" s="1"/>
  <c r="L516" i="1" s="1"/>
  <c r="M516" i="1" s="1"/>
  <c r="N516" i="1" s="1"/>
  <c r="O516" i="1" s="1"/>
  <c r="P516" i="1" s="1"/>
  <c r="E391" i="1"/>
  <c r="E507" i="1" s="1"/>
  <c r="F507" i="1" s="1"/>
  <c r="G507" i="1" s="1"/>
  <c r="H507" i="1" s="1"/>
  <c r="I507" i="1" s="1"/>
  <c r="J507" i="1" s="1"/>
  <c r="K507" i="1" s="1"/>
  <c r="L507" i="1" s="1"/>
  <c r="M507" i="1" s="1"/>
  <c r="N507" i="1" s="1"/>
  <c r="O507" i="1" s="1"/>
  <c r="P507" i="1" s="1"/>
  <c r="E379" i="1"/>
  <c r="E494" i="1" s="1"/>
  <c r="F494" i="1" s="1"/>
  <c r="G494" i="1" s="1"/>
  <c r="H494" i="1" s="1"/>
  <c r="I494" i="1" s="1"/>
  <c r="J494" i="1" s="1"/>
  <c r="K494" i="1" s="1"/>
  <c r="L494" i="1" s="1"/>
  <c r="M494" i="1" s="1"/>
  <c r="N494" i="1" s="1"/>
  <c r="O494" i="1" s="1"/>
  <c r="P494" i="1" s="1"/>
  <c r="B256" i="1"/>
  <c r="B247" i="1"/>
  <c r="B238" i="1"/>
  <c r="E304" i="1"/>
  <c r="B303" i="1"/>
  <c r="B210" i="1" s="1"/>
  <c r="E40" i="1"/>
  <c r="E33" i="14"/>
  <c r="F190" i="11"/>
  <c r="N97" i="3"/>
  <c r="N99" i="3"/>
  <c r="E20" i="14"/>
  <c r="F16" i="1"/>
  <c r="H105" i="3"/>
  <c r="E14" i="11"/>
  <c r="F90" i="38"/>
  <c r="F14" i="38"/>
  <c r="E90" i="38"/>
  <c r="E14" i="38"/>
  <c r="F14" i="11"/>
  <c r="M105" i="3"/>
  <c r="F352" i="1"/>
  <c r="F364" i="1"/>
  <c r="F340" i="1"/>
  <c r="G152" i="16"/>
  <c r="E179" i="16"/>
  <c r="F179" i="16"/>
  <c r="F30" i="16"/>
  <c r="F7" i="16"/>
  <c r="F106" i="16"/>
  <c r="E106" i="16"/>
  <c r="F428" i="1"/>
  <c r="F424" i="1"/>
  <c r="F430" i="1"/>
  <c r="F425" i="1"/>
  <c r="F431" i="1"/>
  <c r="F432" i="1"/>
  <c r="F429" i="1"/>
  <c r="F426" i="1"/>
  <c r="F427" i="1"/>
  <c r="F328" i="1"/>
  <c r="F34" i="49" l="1"/>
  <c r="F40" i="49"/>
  <c r="F35" i="49"/>
  <c r="F38" i="49"/>
  <c r="F37" i="49"/>
  <c r="F36" i="49"/>
  <c r="F39" i="49"/>
  <c r="F16" i="49"/>
  <c r="F19" i="49"/>
  <c r="F18" i="49"/>
  <c r="F21" i="49"/>
  <c r="F22" i="49"/>
  <c r="F17" i="49"/>
  <c r="F20" i="49"/>
  <c r="J120" i="1"/>
  <c r="K120" i="1" s="1"/>
  <c r="L120" i="1" s="1"/>
  <c r="M120" i="1" s="1"/>
  <c r="N120" i="1" s="1"/>
  <c r="O120" i="1" s="1"/>
  <c r="P120" i="1" s="1"/>
  <c r="J119" i="1"/>
  <c r="K119" i="1" s="1"/>
  <c r="L119" i="1" s="1"/>
  <c r="M119" i="1" s="1"/>
  <c r="N119" i="1" s="1"/>
  <c r="O119" i="1" s="1"/>
  <c r="P119" i="1" s="1"/>
  <c r="E495" i="1"/>
  <c r="F495" i="1" s="1"/>
  <c r="G495" i="1" s="1"/>
  <c r="H495" i="1" s="1"/>
  <c r="I495" i="1" s="1"/>
  <c r="J495" i="1" s="1"/>
  <c r="K495" i="1" s="1"/>
  <c r="L495" i="1" s="1"/>
  <c r="M495" i="1" s="1"/>
  <c r="N495" i="1" s="1"/>
  <c r="O495" i="1" s="1"/>
  <c r="P495" i="1" s="1"/>
  <c r="E493" i="1"/>
  <c r="F493" i="1" s="1"/>
  <c r="G493" i="1" s="1"/>
  <c r="H493" i="1" s="1"/>
  <c r="I493" i="1" s="1"/>
  <c r="J493" i="1" s="1"/>
  <c r="K493" i="1" s="1"/>
  <c r="L493" i="1" s="1"/>
  <c r="M493" i="1" s="1"/>
  <c r="N493" i="1" s="1"/>
  <c r="O493" i="1" s="1"/>
  <c r="P493" i="1" s="1"/>
  <c r="F59" i="27"/>
  <c r="F60" i="14"/>
  <c r="G16" i="14"/>
  <c r="F61" i="14"/>
  <c r="F75" i="27" s="1"/>
  <c r="G66" i="26"/>
  <c r="G55" i="26"/>
  <c r="K152" i="3"/>
  <c r="H152" i="3"/>
  <c r="H385" i="1"/>
  <c r="M152" i="3"/>
  <c r="I152" i="3"/>
  <c r="N152" i="3"/>
  <c r="L152" i="3"/>
  <c r="J152" i="3"/>
  <c r="M99" i="3"/>
  <c r="H96" i="3"/>
  <c r="H97" i="3"/>
  <c r="J99" i="3"/>
  <c r="J98" i="3"/>
  <c r="H390" i="1"/>
  <c r="I106" i="1"/>
  <c r="J106" i="1" s="1"/>
  <c r="H408" i="1"/>
  <c r="I408" i="1" s="1"/>
  <c r="J408" i="1" s="1"/>
  <c r="H414" i="1"/>
  <c r="H412" i="1"/>
  <c r="H407" i="1"/>
  <c r="H413" i="1"/>
  <c r="H411" i="1"/>
  <c r="H406" i="1"/>
  <c r="H410" i="1"/>
  <c r="H409" i="1"/>
  <c r="H382" i="1"/>
  <c r="H398" i="1"/>
  <c r="H399" i="1"/>
  <c r="H397" i="1"/>
  <c r="H395" i="1"/>
  <c r="H402" i="1"/>
  <c r="H401" i="1"/>
  <c r="H394" i="1"/>
  <c r="H400" i="1"/>
  <c r="H396" i="1"/>
  <c r="H387" i="1"/>
  <c r="I103" i="1"/>
  <c r="J103" i="1" s="1"/>
  <c r="H378" i="1"/>
  <c r="H371" i="1"/>
  <c r="H376" i="1"/>
  <c r="H377" i="1"/>
  <c r="H373" i="1"/>
  <c r="H375" i="1"/>
  <c r="H370" i="1"/>
  <c r="H372" i="1"/>
  <c r="H374" i="1"/>
  <c r="H386" i="1"/>
  <c r="H389" i="1"/>
  <c r="H384" i="1"/>
  <c r="H383" i="1"/>
  <c r="H388" i="1"/>
  <c r="B183" i="26"/>
  <c r="B154" i="1"/>
  <c r="C166" i="1"/>
  <c r="C163" i="26"/>
  <c r="C134" i="1"/>
  <c r="C205" i="1"/>
  <c r="C203" i="1"/>
  <c r="B226" i="26"/>
  <c r="B195" i="1"/>
  <c r="B222" i="26"/>
  <c r="B191" i="1"/>
  <c r="B205" i="26"/>
  <c r="B174" i="1"/>
  <c r="B194" i="26"/>
  <c r="B165" i="1"/>
  <c r="B186" i="26"/>
  <c r="B157" i="1"/>
  <c r="B182" i="26"/>
  <c r="B153" i="1"/>
  <c r="B174" i="26"/>
  <c r="B145" i="1"/>
  <c r="C158" i="1"/>
  <c r="C231" i="26"/>
  <c r="C200" i="1"/>
  <c r="B195" i="26"/>
  <c r="B166" i="1"/>
  <c r="B236" i="26"/>
  <c r="B205" i="1"/>
  <c r="C206" i="26"/>
  <c r="C175" i="1"/>
  <c r="C227" i="26"/>
  <c r="C196" i="1"/>
  <c r="B233" i="26"/>
  <c r="B202" i="1"/>
  <c r="C195" i="1"/>
  <c r="C222" i="26"/>
  <c r="C191" i="1"/>
  <c r="B214" i="26"/>
  <c r="B183" i="1"/>
  <c r="C205" i="26"/>
  <c r="C174" i="1"/>
  <c r="C165" i="1"/>
  <c r="C186" i="26"/>
  <c r="C157" i="1"/>
  <c r="C182" i="26"/>
  <c r="C153" i="1"/>
  <c r="C166" i="26"/>
  <c r="C137" i="1"/>
  <c r="C207" i="26"/>
  <c r="C176" i="1"/>
  <c r="C223" i="26"/>
  <c r="C192" i="1"/>
  <c r="C191" i="26"/>
  <c r="C162" i="1"/>
  <c r="C175" i="26"/>
  <c r="C146" i="1"/>
  <c r="B178" i="26"/>
  <c r="B149" i="1"/>
  <c r="C202" i="1"/>
  <c r="B225" i="26"/>
  <c r="B194" i="1"/>
  <c r="B193" i="26"/>
  <c r="B164" i="1"/>
  <c r="B185" i="26"/>
  <c r="B156" i="1"/>
  <c r="B177" i="26"/>
  <c r="B148" i="1"/>
  <c r="B173" i="26"/>
  <c r="B144" i="1"/>
  <c r="B165" i="26"/>
  <c r="B136" i="1"/>
  <c r="C204" i="1"/>
  <c r="B175" i="26"/>
  <c r="B146" i="1"/>
  <c r="B187" i="26"/>
  <c r="B158" i="1"/>
  <c r="B232" i="26"/>
  <c r="B201" i="1"/>
  <c r="C194" i="1"/>
  <c r="B217" i="26"/>
  <c r="B186" i="1"/>
  <c r="B213" i="26"/>
  <c r="B182" i="1"/>
  <c r="B203" i="26"/>
  <c r="B172" i="1"/>
  <c r="C193" i="26"/>
  <c r="C164" i="1"/>
  <c r="C156" i="1"/>
  <c r="C177" i="26"/>
  <c r="C148" i="1"/>
  <c r="G150" i="1"/>
  <c r="H150" i="1"/>
  <c r="I150" i="1"/>
  <c r="C165" i="26"/>
  <c r="C136" i="1"/>
  <c r="B227" i="26"/>
  <c r="B196" i="1"/>
  <c r="B191" i="26"/>
  <c r="B162" i="1"/>
  <c r="B234" i="26"/>
  <c r="B203" i="1"/>
  <c r="B215" i="26"/>
  <c r="B184" i="1"/>
  <c r="C183" i="26"/>
  <c r="C154" i="1"/>
  <c r="C167" i="26"/>
  <c r="C138" i="1"/>
  <c r="B196" i="26"/>
  <c r="B167" i="1"/>
  <c r="C209" i="26"/>
  <c r="C178" i="1"/>
  <c r="C232" i="26"/>
  <c r="C201" i="1"/>
  <c r="B224" i="26"/>
  <c r="B193" i="1"/>
  <c r="C186" i="1"/>
  <c r="C213" i="26"/>
  <c r="C182" i="1"/>
  <c r="C203" i="26"/>
  <c r="C172" i="1"/>
  <c r="B192" i="26"/>
  <c r="B163" i="1"/>
  <c r="B184" i="26"/>
  <c r="B155" i="1"/>
  <c r="B176" i="26"/>
  <c r="B147" i="1"/>
  <c r="C169" i="26"/>
  <c r="C140" i="1"/>
  <c r="B164" i="26"/>
  <c r="B135" i="1"/>
  <c r="B223" i="26"/>
  <c r="B192" i="1"/>
  <c r="C168" i="26"/>
  <c r="C139" i="1"/>
  <c r="C178" i="26"/>
  <c r="C149" i="1"/>
  <c r="B218" i="26"/>
  <c r="B187" i="1"/>
  <c r="C196" i="26"/>
  <c r="C167" i="1"/>
  <c r="B235" i="26"/>
  <c r="B204" i="1"/>
  <c r="B231" i="26"/>
  <c r="B200" i="1"/>
  <c r="C224" i="26"/>
  <c r="C193" i="1"/>
  <c r="B216" i="26"/>
  <c r="B185" i="1"/>
  <c r="C208" i="26"/>
  <c r="C177" i="1"/>
  <c r="C192" i="26"/>
  <c r="C163" i="1"/>
  <c r="C176" i="26"/>
  <c r="C147" i="1"/>
  <c r="B168" i="26"/>
  <c r="B139" i="1"/>
  <c r="C164" i="26"/>
  <c r="C135" i="1"/>
  <c r="B163" i="26"/>
  <c r="B134" i="1"/>
  <c r="E534" i="1"/>
  <c r="F534" i="1" s="1"/>
  <c r="G534" i="1" s="1"/>
  <c r="H534" i="1" s="1"/>
  <c r="I534" i="1" s="1"/>
  <c r="J534" i="1" s="1"/>
  <c r="K534" i="1" s="1"/>
  <c r="L534" i="1" s="1"/>
  <c r="M534" i="1" s="1"/>
  <c r="N534" i="1" s="1"/>
  <c r="O534" i="1" s="1"/>
  <c r="P534" i="1" s="1"/>
  <c r="E515" i="1"/>
  <c r="F515" i="1" s="1"/>
  <c r="G515" i="1" s="1"/>
  <c r="H515" i="1" s="1"/>
  <c r="I515" i="1" s="1"/>
  <c r="J515" i="1" s="1"/>
  <c r="K515" i="1" s="1"/>
  <c r="L515" i="1" s="1"/>
  <c r="M515" i="1" s="1"/>
  <c r="N515" i="1" s="1"/>
  <c r="O515" i="1" s="1"/>
  <c r="P515" i="1" s="1"/>
  <c r="G19" i="1"/>
  <c r="G18" i="1"/>
  <c r="H18" i="1" s="1"/>
  <c r="E24" i="1"/>
  <c r="F23" i="1"/>
  <c r="G12" i="1"/>
  <c r="G16" i="1"/>
  <c r="H266" i="16"/>
  <c r="G276" i="16"/>
  <c r="E442" i="1"/>
  <c r="F442" i="1" s="1"/>
  <c r="G442" i="1" s="1"/>
  <c r="F31" i="14"/>
  <c r="F60" i="27"/>
  <c r="E95" i="3"/>
  <c r="F62" i="14"/>
  <c r="F76" i="27" s="1"/>
  <c r="F61" i="27"/>
  <c r="E99" i="3"/>
  <c r="G60" i="27"/>
  <c r="H376" i="16"/>
  <c r="I376" i="16" s="1"/>
  <c r="N96" i="3"/>
  <c r="N98" i="3"/>
  <c r="E98" i="3"/>
  <c r="O105" i="3"/>
  <c r="H382" i="16"/>
  <c r="E5" i="28"/>
  <c r="E30" i="24"/>
  <c r="F184" i="16"/>
  <c r="H269" i="16"/>
  <c r="H279" i="16" s="1"/>
  <c r="H268" i="16"/>
  <c r="H278" i="16" s="1"/>
  <c r="H267" i="16"/>
  <c r="H277" i="16" s="1"/>
  <c r="H263" i="16"/>
  <c r="H265" i="16"/>
  <c r="H275" i="16" s="1"/>
  <c r="H264" i="16"/>
  <c r="H270" i="16"/>
  <c r="H280" i="16" s="1"/>
  <c r="G9" i="14"/>
  <c r="G53" i="27" s="1"/>
  <c r="F53" i="27"/>
  <c r="L104" i="3"/>
  <c r="L97" i="3"/>
  <c r="E96" i="3"/>
  <c r="G10" i="14"/>
  <c r="G54" i="27" s="1"/>
  <c r="F55" i="14"/>
  <c r="F69" i="27" s="1"/>
  <c r="E65" i="14"/>
  <c r="E50" i="14" s="1"/>
  <c r="F25" i="14"/>
  <c r="G17" i="14"/>
  <c r="G61" i="27" s="1"/>
  <c r="E479" i="1"/>
  <c r="F479" i="1" s="1"/>
  <c r="E469" i="1"/>
  <c r="F469" i="1" s="1"/>
  <c r="G469" i="1" s="1"/>
  <c r="E452" i="1"/>
  <c r="F452" i="1" s="1"/>
  <c r="G452" i="1" s="1"/>
  <c r="E464" i="1"/>
  <c r="F464" i="1" s="1"/>
  <c r="G464" i="1" s="1"/>
  <c r="H464" i="1" s="1"/>
  <c r="I464" i="1" s="1"/>
  <c r="J464" i="1" s="1"/>
  <c r="E444" i="1"/>
  <c r="F444" i="1" s="1"/>
  <c r="G444" i="1" s="1"/>
  <c r="E517" i="1"/>
  <c r="F517" i="1" s="1"/>
  <c r="G517" i="1" s="1"/>
  <c r="H517" i="1" s="1"/>
  <c r="I517" i="1" s="1"/>
  <c r="J517" i="1" s="1"/>
  <c r="K517" i="1" s="1"/>
  <c r="L517" i="1" s="1"/>
  <c r="M517" i="1" s="1"/>
  <c r="N517" i="1" s="1"/>
  <c r="O517" i="1" s="1"/>
  <c r="P517" i="1" s="1"/>
  <c r="E447" i="1"/>
  <c r="F447" i="1" s="1"/>
  <c r="G447" i="1" s="1"/>
  <c r="E521" i="1"/>
  <c r="F521" i="1" s="1"/>
  <c r="G521" i="1" s="1"/>
  <c r="H521" i="1" s="1"/>
  <c r="I521" i="1" s="1"/>
  <c r="J521" i="1" s="1"/>
  <c r="K521" i="1" s="1"/>
  <c r="L521" i="1" s="1"/>
  <c r="M521" i="1" s="1"/>
  <c r="N521" i="1" s="1"/>
  <c r="O521" i="1" s="1"/>
  <c r="P521" i="1" s="1"/>
  <c r="E520" i="1"/>
  <c r="F520" i="1" s="1"/>
  <c r="G520" i="1" s="1"/>
  <c r="H520" i="1" s="1"/>
  <c r="I520" i="1" s="1"/>
  <c r="J520" i="1" s="1"/>
  <c r="K520" i="1" s="1"/>
  <c r="L520" i="1" s="1"/>
  <c r="M520" i="1" s="1"/>
  <c r="N520" i="1" s="1"/>
  <c r="O520" i="1" s="1"/>
  <c r="P520" i="1" s="1"/>
  <c r="E439" i="1"/>
  <c r="F439" i="1" s="1"/>
  <c r="G439" i="1" s="1"/>
  <c r="E522" i="1"/>
  <c r="F522" i="1" s="1"/>
  <c r="G522" i="1" s="1"/>
  <c r="H522" i="1" s="1"/>
  <c r="I522" i="1" s="1"/>
  <c r="J522" i="1" s="1"/>
  <c r="K522" i="1" s="1"/>
  <c r="L522" i="1" s="1"/>
  <c r="M522" i="1" s="1"/>
  <c r="N522" i="1" s="1"/>
  <c r="O522" i="1" s="1"/>
  <c r="P522" i="1" s="1"/>
  <c r="E457" i="1"/>
  <c r="F457" i="1" s="1"/>
  <c r="G457" i="1" s="1"/>
  <c r="E441" i="1"/>
  <c r="F441" i="1" s="1"/>
  <c r="G441" i="1" s="1"/>
  <c r="H441" i="1" s="1"/>
  <c r="I441" i="1" s="1"/>
  <c r="J441" i="1" s="1"/>
  <c r="E446" i="1"/>
  <c r="F446" i="1" s="1"/>
  <c r="G446" i="1" s="1"/>
  <c r="E514" i="1"/>
  <c r="F514" i="1" s="1"/>
  <c r="G514" i="1" s="1"/>
  <c r="H514" i="1" s="1"/>
  <c r="I514" i="1" s="1"/>
  <c r="J514" i="1" s="1"/>
  <c r="E519" i="1"/>
  <c r="F519" i="1" s="1"/>
  <c r="G519" i="1" s="1"/>
  <c r="H519" i="1" s="1"/>
  <c r="I519" i="1" s="1"/>
  <c r="J519" i="1" s="1"/>
  <c r="K519" i="1" s="1"/>
  <c r="L519" i="1" s="1"/>
  <c r="M519" i="1" s="1"/>
  <c r="N519" i="1" s="1"/>
  <c r="O519" i="1" s="1"/>
  <c r="P519" i="1" s="1"/>
  <c r="E454" i="1"/>
  <c r="F454" i="1" s="1"/>
  <c r="G454" i="1" s="1"/>
  <c r="E502" i="1"/>
  <c r="F502" i="1" s="1"/>
  <c r="G502" i="1" s="1"/>
  <c r="H502" i="1" s="1"/>
  <c r="G540" i="1"/>
  <c r="H540" i="1" s="1"/>
  <c r="I540" i="1" s="1"/>
  <c r="J540" i="1" s="1"/>
  <c r="E46" i="1"/>
  <c r="E440" i="1"/>
  <c r="F440" i="1" s="1"/>
  <c r="E445" i="1"/>
  <c r="F445" i="1" s="1"/>
  <c r="G445" i="1" s="1"/>
  <c r="E518" i="1"/>
  <c r="F518" i="1" s="1"/>
  <c r="G518" i="1" s="1"/>
  <c r="H518" i="1" s="1"/>
  <c r="I518" i="1" s="1"/>
  <c r="J518" i="1" s="1"/>
  <c r="K518" i="1" s="1"/>
  <c r="L518" i="1" s="1"/>
  <c r="M518" i="1" s="1"/>
  <c r="N518" i="1" s="1"/>
  <c r="O518" i="1" s="1"/>
  <c r="P518" i="1" s="1"/>
  <c r="E455" i="1"/>
  <c r="F455" i="1" s="1"/>
  <c r="G455" i="1" s="1"/>
  <c r="B229" i="1"/>
  <c r="B269" i="1"/>
  <c r="L103" i="3"/>
  <c r="J103" i="3"/>
  <c r="J106" i="3" s="1"/>
  <c r="J105" i="3"/>
  <c r="E16" i="27"/>
  <c r="E366" i="16"/>
  <c r="E5" i="27"/>
  <c r="E35" i="14"/>
  <c r="E510" i="1"/>
  <c r="F510" i="1" s="1"/>
  <c r="G510" i="1" s="1"/>
  <c r="H510" i="1" s="1"/>
  <c r="I510" i="1" s="1"/>
  <c r="J510" i="1" s="1"/>
  <c r="K510" i="1" s="1"/>
  <c r="L510" i="1" s="1"/>
  <c r="M510" i="1" s="1"/>
  <c r="N510" i="1" s="1"/>
  <c r="O510" i="1" s="1"/>
  <c r="P510" i="1" s="1"/>
  <c r="E504" i="1"/>
  <c r="F504" i="1" s="1"/>
  <c r="G504" i="1" s="1"/>
  <c r="H504" i="1" s="1"/>
  <c r="I504" i="1" s="1"/>
  <c r="J504" i="1" s="1"/>
  <c r="K504" i="1" s="1"/>
  <c r="L504" i="1" s="1"/>
  <c r="M504" i="1" s="1"/>
  <c r="N504" i="1" s="1"/>
  <c r="O504" i="1" s="1"/>
  <c r="P504" i="1" s="1"/>
  <c r="E498" i="1"/>
  <c r="F498" i="1" s="1"/>
  <c r="G498" i="1" s="1"/>
  <c r="H498" i="1" s="1"/>
  <c r="I498" i="1" s="1"/>
  <c r="J498" i="1" s="1"/>
  <c r="K498" i="1" s="1"/>
  <c r="L498" i="1" s="1"/>
  <c r="M498" i="1" s="1"/>
  <c r="N498" i="1" s="1"/>
  <c r="O498" i="1" s="1"/>
  <c r="P498" i="1" s="1"/>
  <c r="E497" i="1"/>
  <c r="F497" i="1" s="1"/>
  <c r="G497" i="1" s="1"/>
  <c r="H497" i="1" s="1"/>
  <c r="I497" i="1" s="1"/>
  <c r="J497" i="1" s="1"/>
  <c r="K497" i="1" s="1"/>
  <c r="L497" i="1" s="1"/>
  <c r="M497" i="1" s="1"/>
  <c r="N497" i="1" s="1"/>
  <c r="O497" i="1" s="1"/>
  <c r="P497" i="1" s="1"/>
  <c r="E492" i="1"/>
  <c r="F492" i="1" s="1"/>
  <c r="G492" i="1" s="1"/>
  <c r="E490" i="1"/>
  <c r="F490" i="1" s="1"/>
  <c r="G490" i="1" s="1"/>
  <c r="H490" i="1" s="1"/>
  <c r="I490" i="1" s="1"/>
  <c r="J490" i="1" s="1"/>
  <c r="E491" i="1"/>
  <c r="F491" i="1" s="1"/>
  <c r="G491" i="1" s="1"/>
  <c r="H491" i="1" s="1"/>
  <c r="I491" i="1" s="1"/>
  <c r="J491" i="1" s="1"/>
  <c r="K491" i="1" s="1"/>
  <c r="L491" i="1" s="1"/>
  <c r="M491" i="1" s="1"/>
  <c r="N491" i="1" s="1"/>
  <c r="O491" i="1" s="1"/>
  <c r="P491" i="1" s="1"/>
  <c r="E496" i="1"/>
  <c r="F496" i="1" s="1"/>
  <c r="G496" i="1" s="1"/>
  <c r="H496" i="1" s="1"/>
  <c r="I496" i="1" s="1"/>
  <c r="J496" i="1" s="1"/>
  <c r="K496" i="1" s="1"/>
  <c r="L496" i="1" s="1"/>
  <c r="M496" i="1" s="1"/>
  <c r="N496" i="1" s="1"/>
  <c r="O496" i="1" s="1"/>
  <c r="P496" i="1" s="1"/>
  <c r="E366" i="1"/>
  <c r="E463" i="1"/>
  <c r="F463" i="1" s="1"/>
  <c r="G463" i="1" s="1"/>
  <c r="E468" i="1"/>
  <c r="F468" i="1" s="1"/>
  <c r="G468" i="1" s="1"/>
  <c r="E466" i="1"/>
  <c r="F466" i="1" s="1"/>
  <c r="G466" i="1" s="1"/>
  <c r="E467" i="1"/>
  <c r="F467" i="1" s="1"/>
  <c r="G467" i="1" s="1"/>
  <c r="H467" i="1" s="1"/>
  <c r="I467" i="1" s="1"/>
  <c r="J467" i="1" s="1"/>
  <c r="E465" i="1"/>
  <c r="F465" i="1" s="1"/>
  <c r="G465" i="1" s="1"/>
  <c r="E470" i="1"/>
  <c r="F470" i="1" s="1"/>
  <c r="I104" i="1"/>
  <c r="J104" i="1" s="1"/>
  <c r="H309" i="16"/>
  <c r="H355" i="16"/>
  <c r="E132" i="26"/>
  <c r="E143" i="26"/>
  <c r="O97" i="3"/>
  <c r="H91" i="3"/>
  <c r="E91" i="3"/>
  <c r="O103" i="3"/>
  <c r="O106" i="3" s="1"/>
  <c r="K105" i="3"/>
  <c r="L98" i="3"/>
  <c r="K103" i="3"/>
  <c r="O91" i="3"/>
  <c r="E105" i="3"/>
  <c r="L96" i="3"/>
  <c r="O99" i="3"/>
  <c r="M103" i="3"/>
  <c r="M106" i="3" s="1"/>
  <c r="F98" i="3"/>
  <c r="K98" i="3"/>
  <c r="F99" i="3"/>
  <c r="K96" i="3"/>
  <c r="K97" i="3"/>
  <c r="M167" i="3" s="1"/>
  <c r="K99" i="3"/>
  <c r="H104" i="3"/>
  <c r="H106" i="3" s="1"/>
  <c r="F96" i="3"/>
  <c r="E477" i="1"/>
  <c r="F477" i="1" s="1"/>
  <c r="G477" i="1" s="1"/>
  <c r="E528" i="1"/>
  <c r="F528" i="1" s="1"/>
  <c r="G528" i="1" s="1"/>
  <c r="H528" i="1" s="1"/>
  <c r="I528" i="1" s="1"/>
  <c r="J528" i="1" s="1"/>
  <c r="K528" i="1" s="1"/>
  <c r="L528" i="1" s="1"/>
  <c r="M528" i="1" s="1"/>
  <c r="N528" i="1" s="1"/>
  <c r="O528" i="1" s="1"/>
  <c r="P528" i="1" s="1"/>
  <c r="E531" i="1"/>
  <c r="F531" i="1" s="1"/>
  <c r="G531" i="1" s="1"/>
  <c r="H531" i="1" s="1"/>
  <c r="I531" i="1" s="1"/>
  <c r="J531" i="1" s="1"/>
  <c r="K531" i="1" s="1"/>
  <c r="L531" i="1" s="1"/>
  <c r="M531" i="1" s="1"/>
  <c r="N531" i="1" s="1"/>
  <c r="O531" i="1" s="1"/>
  <c r="P531" i="1" s="1"/>
  <c r="E541" i="1"/>
  <c r="E478" i="1"/>
  <c r="F478" i="1" s="1"/>
  <c r="G478" i="1" s="1"/>
  <c r="H478" i="1" s="1"/>
  <c r="I478" i="1" s="1"/>
  <c r="J478" i="1" s="1"/>
  <c r="K478" i="1" s="1"/>
  <c r="L478" i="1" s="1"/>
  <c r="M478" i="1" s="1"/>
  <c r="N478" i="1" s="1"/>
  <c r="O478" i="1" s="1"/>
  <c r="P478" i="1" s="1"/>
  <c r="E529" i="1"/>
  <c r="F529" i="1" s="1"/>
  <c r="G529" i="1" s="1"/>
  <c r="H529" i="1" s="1"/>
  <c r="I529" i="1" s="1"/>
  <c r="J529" i="1" s="1"/>
  <c r="K529" i="1" s="1"/>
  <c r="L529" i="1" s="1"/>
  <c r="M529" i="1" s="1"/>
  <c r="N529" i="1" s="1"/>
  <c r="O529" i="1" s="1"/>
  <c r="P529" i="1" s="1"/>
  <c r="G387" i="16"/>
  <c r="F189" i="16"/>
  <c r="H377" i="16"/>
  <c r="I377" i="16" s="1"/>
  <c r="J377" i="16" s="1"/>
  <c r="K377" i="16" s="1"/>
  <c r="L377" i="16" s="1"/>
  <c r="M377" i="16" s="1"/>
  <c r="N377" i="16" s="1"/>
  <c r="O377" i="16" s="1"/>
  <c r="P377" i="16" s="1"/>
  <c r="F95" i="3"/>
  <c r="E47" i="3"/>
  <c r="E62" i="3" s="1"/>
  <c r="C234" i="26"/>
  <c r="F26" i="14"/>
  <c r="G11" i="14"/>
  <c r="G55" i="27" s="1"/>
  <c r="I355" i="16"/>
  <c r="I309" i="16"/>
  <c r="C233" i="26"/>
  <c r="C217" i="26"/>
  <c r="B267" i="1"/>
  <c r="C194" i="26"/>
  <c r="G96" i="3"/>
  <c r="G91" i="3"/>
  <c r="G99" i="3"/>
  <c r="G97" i="3"/>
  <c r="N167" i="3" s="1"/>
  <c r="L99" i="3"/>
  <c r="E243" i="26"/>
  <c r="G95" i="3"/>
  <c r="E527" i="1"/>
  <c r="F527" i="1" s="1"/>
  <c r="G527" i="1" s="1"/>
  <c r="H527" i="1" s="1"/>
  <c r="I527" i="1" s="1"/>
  <c r="J527" i="1" s="1"/>
  <c r="K527" i="1" s="1"/>
  <c r="L527" i="1" s="1"/>
  <c r="M527" i="1" s="1"/>
  <c r="N527" i="1" s="1"/>
  <c r="O527" i="1" s="1"/>
  <c r="P527" i="1" s="1"/>
  <c r="E533" i="1"/>
  <c r="F533" i="1" s="1"/>
  <c r="G533" i="1" s="1"/>
  <c r="H533" i="1" s="1"/>
  <c r="I533" i="1" s="1"/>
  <c r="J533" i="1" s="1"/>
  <c r="K533" i="1" s="1"/>
  <c r="L533" i="1" s="1"/>
  <c r="M533" i="1" s="1"/>
  <c r="N533" i="1" s="1"/>
  <c r="O533" i="1" s="1"/>
  <c r="P533" i="1" s="1"/>
  <c r="E530" i="1"/>
  <c r="F530" i="1" s="1"/>
  <c r="G530" i="1" s="1"/>
  <c r="H530" i="1" s="1"/>
  <c r="I530" i="1" s="1"/>
  <c r="J530" i="1" s="1"/>
  <c r="K530" i="1" s="1"/>
  <c r="L530" i="1" s="1"/>
  <c r="M530" i="1" s="1"/>
  <c r="N530" i="1" s="1"/>
  <c r="O530" i="1" s="1"/>
  <c r="P530" i="1" s="1"/>
  <c r="E532" i="1"/>
  <c r="F532" i="1" s="1"/>
  <c r="G532" i="1" s="1"/>
  <c r="H532" i="1" s="1"/>
  <c r="I532" i="1" s="1"/>
  <c r="J532" i="1" s="1"/>
  <c r="K532" i="1" s="1"/>
  <c r="L532" i="1" s="1"/>
  <c r="M532" i="1" s="1"/>
  <c r="N532" i="1" s="1"/>
  <c r="O532" i="1" s="1"/>
  <c r="P532" i="1" s="1"/>
  <c r="E483" i="1"/>
  <c r="F483" i="1" s="1"/>
  <c r="G483" i="1" s="1"/>
  <c r="E482" i="1"/>
  <c r="F482" i="1" s="1"/>
  <c r="G482" i="1" s="1"/>
  <c r="H482" i="1" s="1"/>
  <c r="I482" i="1" s="1"/>
  <c r="J482" i="1" s="1"/>
  <c r="K482" i="1" s="1"/>
  <c r="L482" i="1" s="1"/>
  <c r="M482" i="1" s="1"/>
  <c r="N482" i="1" s="1"/>
  <c r="O482" i="1" s="1"/>
  <c r="P482" i="1" s="1"/>
  <c r="E476" i="1"/>
  <c r="F476" i="1" s="1"/>
  <c r="G476" i="1" s="1"/>
  <c r="H476" i="1" s="1"/>
  <c r="I476" i="1" s="1"/>
  <c r="J476" i="1" s="1"/>
  <c r="K476" i="1" s="1"/>
  <c r="L476" i="1" s="1"/>
  <c r="M476" i="1" s="1"/>
  <c r="N476" i="1" s="1"/>
  <c r="E475" i="1"/>
  <c r="F475" i="1" s="1"/>
  <c r="G475" i="1" s="1"/>
  <c r="H475" i="1" s="1"/>
  <c r="E481" i="1"/>
  <c r="F481" i="1" s="1"/>
  <c r="G481" i="1" s="1"/>
  <c r="H481" i="1" s="1"/>
  <c r="I481" i="1" s="1"/>
  <c r="J481" i="1" s="1"/>
  <c r="K481" i="1" s="1"/>
  <c r="L481" i="1" s="1"/>
  <c r="M481" i="1" s="1"/>
  <c r="N481" i="1" s="1"/>
  <c r="O481" i="1" s="1"/>
  <c r="P481" i="1" s="1"/>
  <c r="L109" i="3"/>
  <c r="L110" i="3" s="1"/>
  <c r="L91" i="3"/>
  <c r="F17" i="1"/>
  <c r="C235" i="26"/>
  <c r="C214" i="26"/>
  <c r="B268" i="1"/>
  <c r="C195" i="26"/>
  <c r="F103" i="3"/>
  <c r="P173" i="3" s="1"/>
  <c r="F104" i="3"/>
  <c r="F105" i="3"/>
  <c r="E20" i="1"/>
  <c r="F32" i="14"/>
  <c r="J91" i="3"/>
  <c r="N104" i="3"/>
  <c r="N103" i="3"/>
  <c r="M98" i="3"/>
  <c r="M96" i="3"/>
  <c r="M97" i="3"/>
  <c r="M91" i="3"/>
  <c r="G355" i="16"/>
  <c r="G357" i="16" s="1"/>
  <c r="G285" i="16"/>
  <c r="F13" i="49" s="1"/>
  <c r="G309" i="16"/>
  <c r="G310" i="16" s="1"/>
  <c r="G352" i="16"/>
  <c r="G353" i="16" s="1"/>
  <c r="H352" i="16"/>
  <c r="I352" i="16"/>
  <c r="G15" i="14"/>
  <c r="G60" i="14" s="1"/>
  <c r="F18" i="14"/>
  <c r="F30" i="14"/>
  <c r="F12" i="14"/>
  <c r="F24" i="14"/>
  <c r="F33" i="1"/>
  <c r="I47" i="3"/>
  <c r="H47" i="3"/>
  <c r="F47" i="3"/>
  <c r="F62" i="3" s="1"/>
  <c r="G370" i="11"/>
  <c r="E357" i="11"/>
  <c r="E5" i="14"/>
  <c r="G388" i="16"/>
  <c r="G383" i="16"/>
  <c r="Q26" i="49"/>
  <c r="T26" i="49" s="1"/>
  <c r="G189" i="16"/>
  <c r="H43" i="16"/>
  <c r="N91" i="3"/>
  <c r="F91" i="3"/>
  <c r="E433" i="1"/>
  <c r="G104" i="3"/>
  <c r="G105" i="3"/>
  <c r="B266" i="1"/>
  <c r="B227" i="1"/>
  <c r="K91" i="3"/>
  <c r="E104" i="3"/>
  <c r="B264" i="1"/>
  <c r="G103" i="3"/>
  <c r="O95" i="3"/>
  <c r="O96" i="3"/>
  <c r="H98" i="3"/>
  <c r="H99" i="3"/>
  <c r="F417" i="1"/>
  <c r="C216" i="26"/>
  <c r="F366" i="1"/>
  <c r="G526" i="1"/>
  <c r="H526" i="1" s="1"/>
  <c r="I526" i="1" s="1"/>
  <c r="J526" i="1" s="1"/>
  <c r="I105" i="1"/>
  <c r="J105" i="1" s="1"/>
  <c r="C225" i="26"/>
  <c r="C236" i="26"/>
  <c r="C218" i="26"/>
  <c r="H108" i="1"/>
  <c r="I108" i="1" s="1"/>
  <c r="J108" i="1" s="1"/>
  <c r="K108" i="1" s="1"/>
  <c r="L108" i="1" s="1"/>
  <c r="M108" i="1" s="1"/>
  <c r="N108" i="1" s="1"/>
  <c r="O108" i="1" s="1"/>
  <c r="P108" i="1" s="1"/>
  <c r="C226" i="26"/>
  <c r="E505" i="1"/>
  <c r="F505" i="1" s="1"/>
  <c r="G505" i="1" s="1"/>
  <c r="H505" i="1" s="1"/>
  <c r="I505" i="1" s="1"/>
  <c r="J505" i="1" s="1"/>
  <c r="K505" i="1" s="1"/>
  <c r="L505" i="1" s="1"/>
  <c r="M505" i="1" s="1"/>
  <c r="N505" i="1" s="1"/>
  <c r="O505" i="1" s="1"/>
  <c r="P505" i="1" s="1"/>
  <c r="E506" i="1"/>
  <c r="F506" i="1" s="1"/>
  <c r="G506" i="1" s="1"/>
  <c r="H506" i="1" s="1"/>
  <c r="I506" i="1" s="1"/>
  <c r="J506" i="1" s="1"/>
  <c r="K506" i="1" s="1"/>
  <c r="L506" i="1" s="1"/>
  <c r="M506" i="1" s="1"/>
  <c r="N506" i="1" s="1"/>
  <c r="O506" i="1" s="1"/>
  <c r="P506" i="1" s="1"/>
  <c r="E508" i="1"/>
  <c r="F508" i="1" s="1"/>
  <c r="G508" i="1" s="1"/>
  <c r="H508" i="1" s="1"/>
  <c r="I508" i="1" s="1"/>
  <c r="J508" i="1" s="1"/>
  <c r="K508" i="1" s="1"/>
  <c r="L508" i="1" s="1"/>
  <c r="M508" i="1" s="1"/>
  <c r="N508" i="1" s="1"/>
  <c r="O508" i="1" s="1"/>
  <c r="P508" i="1" s="1"/>
  <c r="E503" i="1"/>
  <c r="E509" i="1"/>
  <c r="F509" i="1" s="1"/>
  <c r="G509" i="1" s="1"/>
  <c r="H509" i="1" s="1"/>
  <c r="I509" i="1" s="1"/>
  <c r="J509" i="1" s="1"/>
  <c r="K509" i="1" s="1"/>
  <c r="L509" i="1" s="1"/>
  <c r="M509" i="1" s="1"/>
  <c r="N509" i="1" s="1"/>
  <c r="O509" i="1" s="1"/>
  <c r="P509" i="1" s="1"/>
  <c r="E453" i="1"/>
  <c r="F453" i="1" s="1"/>
  <c r="G453" i="1" s="1"/>
  <c r="E459" i="1"/>
  <c r="F459" i="1" s="1"/>
  <c r="G459" i="1" s="1"/>
  <c r="E456" i="1"/>
  <c r="F456" i="1" s="1"/>
  <c r="G456" i="1" s="1"/>
  <c r="E451" i="1"/>
  <c r="C187" i="26"/>
  <c r="C184" i="26"/>
  <c r="C174" i="26"/>
  <c r="C173" i="26"/>
  <c r="G302" i="16"/>
  <c r="G336" i="16" s="1"/>
  <c r="H362" i="11"/>
  <c r="F111" i="16"/>
  <c r="I372" i="16"/>
  <c r="G184" i="16"/>
  <c r="H38" i="16"/>
  <c r="C215" i="26"/>
  <c r="C204" i="26"/>
  <c r="C185" i="26"/>
  <c r="H160" i="38"/>
  <c r="B226" i="1"/>
  <c r="I160" i="38"/>
  <c r="G160" i="38"/>
  <c r="G166" i="38"/>
  <c r="H166" i="38"/>
  <c r="I166" i="38"/>
  <c r="I362" i="11"/>
  <c r="G7" i="16"/>
  <c r="E63" i="26"/>
  <c r="E74" i="26"/>
  <c r="E85" i="26"/>
  <c r="E96" i="26"/>
  <c r="E110" i="26"/>
  <c r="E121" i="26"/>
  <c r="E417" i="1"/>
  <c r="I370" i="11"/>
  <c r="H370" i="11"/>
  <c r="G362" i="11"/>
  <c r="G47" i="3"/>
  <c r="G31" i="14"/>
  <c r="F54" i="14"/>
  <c r="F68" i="27" s="1"/>
  <c r="G39" i="14"/>
  <c r="F70" i="27"/>
  <c r="F12" i="27" s="1"/>
  <c r="G443" i="1"/>
  <c r="F433" i="1"/>
  <c r="G458" i="1"/>
  <c r="G471" i="1"/>
  <c r="I480" i="1"/>
  <c r="J480" i="1" s="1"/>
  <c r="K480" i="1" s="1"/>
  <c r="L480" i="1" s="1"/>
  <c r="M480" i="1" s="1"/>
  <c r="N480" i="1" s="1"/>
  <c r="O480" i="1" s="1"/>
  <c r="P480" i="1" s="1"/>
  <c r="G479" i="1"/>
  <c r="E77" i="27"/>
  <c r="E62" i="27"/>
  <c r="E56" i="27"/>
  <c r="E17" i="27"/>
  <c r="E49" i="27"/>
  <c r="E181" i="11"/>
  <c r="E314" i="1"/>
  <c r="E5" i="38"/>
  <c r="E161" i="3"/>
  <c r="E5" i="11"/>
  <c r="E5" i="26"/>
  <c r="E259" i="16"/>
  <c r="F5" i="16"/>
  <c r="F130" i="1" s="1"/>
  <c r="E81" i="38"/>
  <c r="E228" i="16"/>
  <c r="E219" i="1"/>
  <c r="E94" i="1"/>
  <c r="E157" i="38"/>
  <c r="E4" i="24"/>
  <c r="E159" i="26"/>
  <c r="E74" i="14"/>
  <c r="E4" i="3"/>
  <c r="E5" i="1"/>
  <c r="E51" i="26"/>
  <c r="E71" i="27"/>
  <c r="F19" i="16"/>
  <c r="E19" i="16"/>
  <c r="I382" i="16" l="1"/>
  <c r="G37" i="49"/>
  <c r="G40" i="49"/>
  <c r="G36" i="49"/>
  <c r="G35" i="49"/>
  <c r="G34" i="49"/>
  <c r="G39" i="49"/>
  <c r="G38" i="49"/>
  <c r="F10" i="49"/>
  <c r="F11" i="49"/>
  <c r="F14" i="49"/>
  <c r="F9" i="49"/>
  <c r="F8" i="49"/>
  <c r="Q8" i="49" s="1"/>
  <c r="F12" i="49"/>
  <c r="J167" i="3"/>
  <c r="N169" i="3"/>
  <c r="L169" i="3"/>
  <c r="P169" i="3"/>
  <c r="M169" i="3"/>
  <c r="K169" i="3"/>
  <c r="J169" i="3"/>
  <c r="O169" i="3"/>
  <c r="E169" i="3"/>
  <c r="E203" i="3" s="1"/>
  <c r="G169" i="3"/>
  <c r="I169" i="3"/>
  <c r="F169" i="3"/>
  <c r="F203" i="3" s="1"/>
  <c r="H169" i="3"/>
  <c r="O167" i="3"/>
  <c r="P166" i="3"/>
  <c r="M166" i="3"/>
  <c r="N166" i="3"/>
  <c r="L166" i="3"/>
  <c r="K166" i="3"/>
  <c r="O166" i="3"/>
  <c r="J166" i="3"/>
  <c r="H166" i="3"/>
  <c r="F166" i="3"/>
  <c r="F200" i="3" s="1"/>
  <c r="I166" i="3"/>
  <c r="G166" i="3"/>
  <c r="E166" i="3"/>
  <c r="K167" i="3"/>
  <c r="N165" i="3"/>
  <c r="P165" i="3"/>
  <c r="K165" i="3"/>
  <c r="O165" i="3"/>
  <c r="M165" i="3"/>
  <c r="L165" i="3"/>
  <c r="L170" i="3" s="1"/>
  <c r="J165" i="3"/>
  <c r="E165" i="3"/>
  <c r="E199" i="3" s="1"/>
  <c r="G165" i="3"/>
  <c r="H165" i="3"/>
  <c r="F165" i="3"/>
  <c r="I165" i="3"/>
  <c r="P167" i="3"/>
  <c r="H167" i="3"/>
  <c r="J173" i="3"/>
  <c r="O174" i="3"/>
  <c r="M174" i="3"/>
  <c r="K174" i="3"/>
  <c r="N174" i="3"/>
  <c r="J174" i="3"/>
  <c r="L174" i="3"/>
  <c r="P174" i="3"/>
  <c r="F167" i="3"/>
  <c r="F201" i="3" s="1"/>
  <c r="L173" i="3"/>
  <c r="I167" i="3"/>
  <c r="M173" i="3"/>
  <c r="O175" i="3"/>
  <c r="K175" i="3"/>
  <c r="M175" i="3"/>
  <c r="P175" i="3"/>
  <c r="N175" i="3"/>
  <c r="L175" i="3"/>
  <c r="J175" i="3"/>
  <c r="P168" i="3"/>
  <c r="K168" i="3"/>
  <c r="N168" i="3"/>
  <c r="O168" i="3"/>
  <c r="M168" i="3"/>
  <c r="L168" i="3"/>
  <c r="J168" i="3"/>
  <c r="F168" i="3"/>
  <c r="F202" i="3" s="1"/>
  <c r="G168" i="3"/>
  <c r="H168" i="3"/>
  <c r="E168" i="3"/>
  <c r="E202" i="3" s="1"/>
  <c r="I168" i="3"/>
  <c r="G167" i="3"/>
  <c r="K173" i="3"/>
  <c r="E167" i="3"/>
  <c r="N173" i="3"/>
  <c r="N100" i="3"/>
  <c r="L167" i="3"/>
  <c r="O173" i="3"/>
  <c r="O176" i="3" s="1"/>
  <c r="J100" i="3"/>
  <c r="F602" i="1"/>
  <c r="F17" i="27"/>
  <c r="I409" i="1"/>
  <c r="J409" i="1" s="1"/>
  <c r="I410" i="1"/>
  <c r="J410" i="1" s="1"/>
  <c r="I412" i="1"/>
  <c r="J412" i="1" s="1"/>
  <c r="I414" i="1"/>
  <c r="J414" i="1" s="1"/>
  <c r="H16" i="14"/>
  <c r="H60" i="27" s="1"/>
  <c r="G61" i="14"/>
  <c r="F33" i="14"/>
  <c r="I383" i="1"/>
  <c r="J383" i="1" s="1"/>
  <c r="H55" i="26"/>
  <c r="H66" i="26"/>
  <c r="K490" i="1"/>
  <c r="K105" i="1"/>
  <c r="L105" i="1" s="1"/>
  <c r="M105" i="1" s="1"/>
  <c r="N105" i="1" s="1"/>
  <c r="O105" i="1" s="1"/>
  <c r="P105" i="1" s="1"/>
  <c r="K526" i="1"/>
  <c r="J535" i="1"/>
  <c r="K106" i="1"/>
  <c r="L106" i="1" s="1"/>
  <c r="M106" i="1" s="1"/>
  <c r="N106" i="1" s="1"/>
  <c r="O106" i="1" s="1"/>
  <c r="P106" i="1" s="1"/>
  <c r="I411" i="1"/>
  <c r="J411" i="1" s="1"/>
  <c r="K514" i="1"/>
  <c r="J523" i="1"/>
  <c r="O476" i="1"/>
  <c r="P476" i="1" s="1"/>
  <c r="J541" i="1"/>
  <c r="K540" i="1"/>
  <c r="K104" i="1"/>
  <c r="K103" i="1"/>
  <c r="I397" i="1"/>
  <c r="J397" i="1" s="1"/>
  <c r="I413" i="1"/>
  <c r="J413" i="1" s="1"/>
  <c r="I407" i="1"/>
  <c r="J407" i="1" s="1"/>
  <c r="K441" i="1"/>
  <c r="J548" i="1"/>
  <c r="K464" i="1"/>
  <c r="J571" i="1"/>
  <c r="K467" i="1"/>
  <c r="J574" i="1"/>
  <c r="J372" i="16"/>
  <c r="J376" i="16"/>
  <c r="J382" i="16"/>
  <c r="L106" i="3"/>
  <c r="L100" i="3"/>
  <c r="I372" i="1"/>
  <c r="J372" i="1" s="1"/>
  <c r="I384" i="1"/>
  <c r="J384" i="1" s="1"/>
  <c r="I370" i="1"/>
  <c r="J370" i="1" s="1"/>
  <c r="I387" i="1"/>
  <c r="J387" i="1" s="1"/>
  <c r="I399" i="1"/>
  <c r="J399" i="1" s="1"/>
  <c r="K399" i="1" s="1"/>
  <c r="L399" i="1" s="1"/>
  <c r="M399" i="1" s="1"/>
  <c r="N399" i="1" s="1"/>
  <c r="O399" i="1" s="1"/>
  <c r="P399" i="1" s="1"/>
  <c r="I375" i="1"/>
  <c r="J375" i="1" s="1"/>
  <c r="I396" i="1"/>
  <c r="J396" i="1" s="1"/>
  <c r="K396" i="1" s="1"/>
  <c r="L396" i="1" s="1"/>
  <c r="M396" i="1" s="1"/>
  <c r="N396" i="1" s="1"/>
  <c r="O396" i="1" s="1"/>
  <c r="P396" i="1" s="1"/>
  <c r="I398" i="1"/>
  <c r="J398" i="1" s="1"/>
  <c r="I373" i="1"/>
  <c r="J373" i="1" s="1"/>
  <c r="I400" i="1"/>
  <c r="J400" i="1" s="1"/>
  <c r="H420" i="1"/>
  <c r="I420" i="1" s="1"/>
  <c r="J420" i="1" s="1"/>
  <c r="I389" i="1"/>
  <c r="J389" i="1" s="1"/>
  <c r="I377" i="1"/>
  <c r="J377" i="1" s="1"/>
  <c r="I394" i="1"/>
  <c r="J394" i="1" s="1"/>
  <c r="I382" i="1"/>
  <c r="J382" i="1" s="1"/>
  <c r="I385" i="1"/>
  <c r="J385" i="1" s="1"/>
  <c r="I376" i="1"/>
  <c r="J376" i="1" s="1"/>
  <c r="I401" i="1"/>
  <c r="J401" i="1" s="1"/>
  <c r="I386" i="1"/>
  <c r="J386" i="1" s="1"/>
  <c r="I371" i="1"/>
  <c r="J371" i="1" s="1"/>
  <c r="I402" i="1"/>
  <c r="J402" i="1" s="1"/>
  <c r="K402" i="1" s="1"/>
  <c r="L402" i="1" s="1"/>
  <c r="M402" i="1" s="1"/>
  <c r="N402" i="1" s="1"/>
  <c r="O402" i="1" s="1"/>
  <c r="P402" i="1" s="1"/>
  <c r="I388" i="1"/>
  <c r="J388" i="1" s="1"/>
  <c r="I374" i="1"/>
  <c r="J374" i="1" s="1"/>
  <c r="I378" i="1"/>
  <c r="J378" i="1" s="1"/>
  <c r="I395" i="1"/>
  <c r="J395" i="1" s="1"/>
  <c r="I406" i="1"/>
  <c r="J406" i="1" s="1"/>
  <c r="I390" i="1"/>
  <c r="J390" i="1" s="1"/>
  <c r="G344" i="16"/>
  <c r="G191" i="26"/>
  <c r="B166" i="26"/>
  <c r="B137" i="1"/>
  <c r="G159" i="1"/>
  <c r="H159" i="1"/>
  <c r="I159" i="1"/>
  <c r="F197" i="1"/>
  <c r="H141" i="1"/>
  <c r="I141" i="1"/>
  <c r="G141" i="1"/>
  <c r="B208" i="26"/>
  <c r="B177" i="1"/>
  <c r="B207" i="26"/>
  <c r="B176" i="1"/>
  <c r="I168" i="1"/>
  <c r="H168" i="1"/>
  <c r="G168" i="1"/>
  <c r="B167" i="26"/>
  <c r="B138" i="1"/>
  <c r="B209" i="26"/>
  <c r="B178" i="1"/>
  <c r="F168" i="1"/>
  <c r="B206" i="26"/>
  <c r="B175" i="1"/>
  <c r="B169" i="26"/>
  <c r="B140" i="1"/>
  <c r="B204" i="26"/>
  <c r="B173" i="1"/>
  <c r="E206" i="1"/>
  <c r="E168" i="1"/>
  <c r="G23" i="1"/>
  <c r="G83" i="1" s="1"/>
  <c r="G303" i="1" s="1"/>
  <c r="G242" i="26" s="1"/>
  <c r="F83" i="1"/>
  <c r="F303" i="1" s="1"/>
  <c r="F242" i="26" s="1"/>
  <c r="H16" i="1"/>
  <c r="H78" i="1"/>
  <c r="F78" i="1"/>
  <c r="G17" i="1"/>
  <c r="G78" i="1"/>
  <c r="F79" i="1"/>
  <c r="H19" i="1"/>
  <c r="G79" i="1"/>
  <c r="H12" i="1"/>
  <c r="H582" i="1" s="1"/>
  <c r="I18" i="1"/>
  <c r="I78" i="1" s="1"/>
  <c r="I266" i="16"/>
  <c r="H276" i="16"/>
  <c r="F98" i="28"/>
  <c r="F71" i="28"/>
  <c r="F124" i="28"/>
  <c r="G25" i="14"/>
  <c r="G24" i="14"/>
  <c r="F173" i="3"/>
  <c r="F207" i="3" s="1"/>
  <c r="E201" i="3"/>
  <c r="H541" i="1"/>
  <c r="E100" i="3"/>
  <c r="E200" i="3"/>
  <c r="G75" i="27"/>
  <c r="G17" i="27" s="1"/>
  <c r="H387" i="16"/>
  <c r="I387" i="16" s="1"/>
  <c r="E173" i="3"/>
  <c r="E207" i="3" s="1"/>
  <c r="I541" i="1"/>
  <c r="H175" i="3"/>
  <c r="E175" i="3"/>
  <c r="E209" i="3" s="1"/>
  <c r="F175" i="3"/>
  <c r="F209" i="3" s="1"/>
  <c r="I175" i="3"/>
  <c r="G175" i="3"/>
  <c r="G173" i="3"/>
  <c r="G174" i="3"/>
  <c r="H174" i="3"/>
  <c r="F174" i="3"/>
  <c r="F208" i="3" s="1"/>
  <c r="E174" i="3"/>
  <c r="E208" i="3" s="1"/>
  <c r="I174" i="3"/>
  <c r="H173" i="3"/>
  <c r="F199" i="3"/>
  <c r="K106" i="3"/>
  <c r="I173" i="3"/>
  <c r="Q28" i="49"/>
  <c r="T28" i="49" s="1"/>
  <c r="Q31" i="49"/>
  <c r="T31" i="49" s="1"/>
  <c r="Q30" i="49"/>
  <c r="T30" i="49" s="1"/>
  <c r="Q29" i="49"/>
  <c r="T29" i="49" s="1"/>
  <c r="Q27" i="49"/>
  <c r="T27" i="49" s="1"/>
  <c r="Q36" i="49"/>
  <c r="T36" i="49" s="1"/>
  <c r="Q35" i="49"/>
  <c r="T35" i="49" s="1"/>
  <c r="Q40" i="49"/>
  <c r="T40" i="49" s="1"/>
  <c r="Q37" i="49"/>
  <c r="T37" i="49" s="1"/>
  <c r="Q38" i="49"/>
  <c r="T38" i="49" s="1"/>
  <c r="Q34" i="49"/>
  <c r="T34" i="49" s="1"/>
  <c r="Q39" i="49"/>
  <c r="T39" i="49" s="1"/>
  <c r="Q20" i="49"/>
  <c r="T20" i="49" s="1"/>
  <c r="Q21" i="49"/>
  <c r="T21" i="49" s="1"/>
  <c r="Q17" i="49"/>
  <c r="T17" i="49" s="1"/>
  <c r="Q19" i="49"/>
  <c r="T19" i="49" s="1"/>
  <c r="Q22" i="49"/>
  <c r="T22" i="49" s="1"/>
  <c r="Q16" i="49"/>
  <c r="T16" i="49" s="1"/>
  <c r="Q18" i="49"/>
  <c r="T18" i="49" s="1"/>
  <c r="I269" i="16"/>
  <c r="I265" i="16"/>
  <c r="I267" i="16"/>
  <c r="H294" i="16"/>
  <c r="H9" i="14"/>
  <c r="H53" i="27" s="1"/>
  <c r="F5" i="28"/>
  <c r="F30" i="24"/>
  <c r="I270" i="16"/>
  <c r="I264" i="16"/>
  <c r="I263" i="16"/>
  <c r="H295" i="16"/>
  <c r="H297" i="16"/>
  <c r="H296" i="16"/>
  <c r="I268" i="16"/>
  <c r="H15" i="14"/>
  <c r="G59" i="27"/>
  <c r="G62" i="27" s="1"/>
  <c r="F18" i="27"/>
  <c r="F27" i="14"/>
  <c r="H10" i="14"/>
  <c r="H54" i="27" s="1"/>
  <c r="G55" i="14"/>
  <c r="G69" i="27" s="1"/>
  <c r="G32" i="14"/>
  <c r="H17" i="14"/>
  <c r="H61" i="27" s="1"/>
  <c r="G62" i="14"/>
  <c r="G76" i="27" s="1"/>
  <c r="F582" i="1"/>
  <c r="F572" i="1"/>
  <c r="E51" i="1"/>
  <c r="F51" i="1" s="1"/>
  <c r="E523" i="1"/>
  <c r="F523" i="1"/>
  <c r="I523" i="1"/>
  <c r="E13" i="1"/>
  <c r="E26" i="1" s="1"/>
  <c r="F598" i="1"/>
  <c r="F472" i="1"/>
  <c r="F448" i="1"/>
  <c r="G523" i="1"/>
  <c r="H523" i="1"/>
  <c r="E257" i="1"/>
  <c r="F574" i="1"/>
  <c r="E448" i="1"/>
  <c r="E484" i="1"/>
  <c r="F549" i="1"/>
  <c r="F32" i="1"/>
  <c r="F484" i="1"/>
  <c r="F570" i="1"/>
  <c r="E50" i="1"/>
  <c r="F50" i="1" s="1"/>
  <c r="E80" i="1"/>
  <c r="G541" i="1"/>
  <c r="E297" i="1"/>
  <c r="H357" i="16"/>
  <c r="I357" i="16" s="1"/>
  <c r="J357" i="16" s="1"/>
  <c r="K357" i="16" s="1"/>
  <c r="L357" i="16" s="1"/>
  <c r="M357" i="16" s="1"/>
  <c r="N357" i="16" s="1"/>
  <c r="O357" i="16" s="1"/>
  <c r="P357" i="16" s="1"/>
  <c r="F11" i="27"/>
  <c r="F132" i="26"/>
  <c r="F143" i="26"/>
  <c r="F85" i="26"/>
  <c r="F74" i="26"/>
  <c r="F121" i="26"/>
  <c r="F62" i="27"/>
  <c r="F96" i="26"/>
  <c r="F63" i="26"/>
  <c r="F110" i="26"/>
  <c r="G56" i="27"/>
  <c r="F571" i="1"/>
  <c r="F576" i="1"/>
  <c r="F578" i="1"/>
  <c r="F573" i="1"/>
  <c r="G582" i="1"/>
  <c r="F586" i="1"/>
  <c r="F583" i="1"/>
  <c r="E11" i="16"/>
  <c r="H310" i="16"/>
  <c r="G30" i="14"/>
  <c r="G33" i="14" s="1"/>
  <c r="G18" i="14"/>
  <c r="F577" i="1"/>
  <c r="F575" i="1"/>
  <c r="F499" i="1"/>
  <c r="E499" i="1"/>
  <c r="G470" i="1"/>
  <c r="G472" i="1" s="1"/>
  <c r="E472" i="1"/>
  <c r="F56" i="27"/>
  <c r="F604" i="1"/>
  <c r="F11" i="16"/>
  <c r="K100" i="3"/>
  <c r="G100" i="3"/>
  <c r="F100" i="3"/>
  <c r="F551" i="1"/>
  <c r="F550" i="1"/>
  <c r="F553" i="1"/>
  <c r="F546" i="1"/>
  <c r="F535" i="1"/>
  <c r="E535" i="1"/>
  <c r="F554" i="1"/>
  <c r="E248" i="1"/>
  <c r="F552" i="1"/>
  <c r="H388" i="16"/>
  <c r="I388" i="16" s="1"/>
  <c r="J388" i="16" s="1"/>
  <c r="K388" i="16" s="1"/>
  <c r="L388" i="16" s="1"/>
  <c r="M388" i="16" s="1"/>
  <c r="N388" i="16" s="1"/>
  <c r="O388" i="16" s="1"/>
  <c r="P388" i="16" s="1"/>
  <c r="H383" i="16"/>
  <c r="I383" i="16" s="1"/>
  <c r="J383" i="16" s="1"/>
  <c r="K383" i="16" s="1"/>
  <c r="L383" i="16" s="1"/>
  <c r="M383" i="16" s="1"/>
  <c r="N383" i="16" s="1"/>
  <c r="O383" i="16" s="1"/>
  <c r="P383" i="16" s="1"/>
  <c r="E106" i="3"/>
  <c r="F106" i="3"/>
  <c r="H100" i="3"/>
  <c r="G26" i="14"/>
  <c r="H11" i="14"/>
  <c r="H55" i="27" s="1"/>
  <c r="F590" i="1"/>
  <c r="F584" i="1"/>
  <c r="F587" i="1"/>
  <c r="F588" i="1"/>
  <c r="F589" i="1"/>
  <c r="E288" i="1"/>
  <c r="G535" i="1"/>
  <c r="O100" i="3"/>
  <c r="F20" i="14"/>
  <c r="G12" i="14"/>
  <c r="M100" i="3"/>
  <c r="F24" i="1"/>
  <c r="F43" i="1"/>
  <c r="F44" i="1" s="1"/>
  <c r="E74" i="1"/>
  <c r="F585" i="1"/>
  <c r="N106" i="3"/>
  <c r="H285" i="16"/>
  <c r="G10" i="49" s="1"/>
  <c r="Q9" i="49"/>
  <c r="T9" i="49" s="1"/>
  <c r="H353" i="16"/>
  <c r="I353" i="16" s="1"/>
  <c r="J353" i="16" s="1"/>
  <c r="E23" i="16"/>
  <c r="F23" i="16"/>
  <c r="F30" i="1"/>
  <c r="F548" i="1"/>
  <c r="H173" i="38"/>
  <c r="G379" i="11"/>
  <c r="H379" i="11"/>
  <c r="H302" i="16"/>
  <c r="H336" i="16" s="1"/>
  <c r="R26" i="49"/>
  <c r="U26" i="49" s="1"/>
  <c r="I379" i="11"/>
  <c r="I173" i="38"/>
  <c r="I535" i="1"/>
  <c r="H189" i="16"/>
  <c r="I43" i="16"/>
  <c r="G106" i="3"/>
  <c r="E460" i="1"/>
  <c r="F451" i="1"/>
  <c r="H535" i="1"/>
  <c r="F503" i="1"/>
  <c r="E511" i="1"/>
  <c r="F600" i="1"/>
  <c r="I38" i="16"/>
  <c r="H111" i="16"/>
  <c r="H184" i="16"/>
  <c r="G173" i="38"/>
  <c r="F603" i="1"/>
  <c r="F597" i="1"/>
  <c r="E145" i="26"/>
  <c r="E98" i="26"/>
  <c r="H492" i="1"/>
  <c r="G499" i="1"/>
  <c r="F36" i="1"/>
  <c r="F601" i="1"/>
  <c r="F605" i="1"/>
  <c r="F599" i="1"/>
  <c r="I502" i="1"/>
  <c r="J502" i="1" s="1"/>
  <c r="G585" i="1"/>
  <c r="G90" i="26" s="1"/>
  <c r="G583" i="1"/>
  <c r="G88" i="26" s="1"/>
  <c r="G589" i="1"/>
  <c r="G94" i="26" s="1"/>
  <c r="G33" i="1"/>
  <c r="G587" i="1"/>
  <c r="G92" i="26" s="1"/>
  <c r="G588" i="1"/>
  <c r="G93" i="26" s="1"/>
  <c r="E19" i="27"/>
  <c r="H39" i="14"/>
  <c r="G54" i="14"/>
  <c r="G68" i="27" s="1"/>
  <c r="F57" i="14"/>
  <c r="G551" i="1"/>
  <c r="G59" i="26" s="1"/>
  <c r="G578" i="1"/>
  <c r="H445" i="1"/>
  <c r="H442" i="1"/>
  <c r="H446" i="1"/>
  <c r="G440" i="1"/>
  <c r="G448" i="1" s="1"/>
  <c r="F547" i="1"/>
  <c r="H439" i="1"/>
  <c r="H444" i="1"/>
  <c r="H447" i="1"/>
  <c r="H443" i="1"/>
  <c r="H455" i="1"/>
  <c r="H453" i="1"/>
  <c r="H457" i="1"/>
  <c r="H459" i="1"/>
  <c r="H458" i="1"/>
  <c r="H456" i="1"/>
  <c r="H452" i="1"/>
  <c r="H454" i="1"/>
  <c r="H465" i="1"/>
  <c r="H466" i="1"/>
  <c r="H469" i="1"/>
  <c r="H471" i="1"/>
  <c r="H463" i="1"/>
  <c r="H468" i="1"/>
  <c r="I475" i="1"/>
  <c r="J475" i="1" s="1"/>
  <c r="G590" i="1"/>
  <c r="H483" i="1"/>
  <c r="G586" i="1"/>
  <c r="H479" i="1"/>
  <c r="G484" i="1"/>
  <c r="G584" i="1"/>
  <c r="H477" i="1"/>
  <c r="E64" i="27"/>
  <c r="E13" i="27"/>
  <c r="E79" i="27"/>
  <c r="G5" i="16"/>
  <c r="G130" i="1" s="1"/>
  <c r="F159" i="26"/>
  <c r="F181" i="11"/>
  <c r="F5" i="14"/>
  <c r="F357" i="11"/>
  <c r="F5" i="27"/>
  <c r="F366" i="16"/>
  <c r="E4" i="49" s="1"/>
  <c r="E44" i="49" s="1"/>
  <c r="F51" i="26"/>
  <c r="F228" i="16"/>
  <c r="F5" i="38"/>
  <c r="F5" i="11"/>
  <c r="F5" i="26"/>
  <c r="F259" i="16"/>
  <c r="F157" i="38"/>
  <c r="F81" i="38"/>
  <c r="F74" i="14"/>
  <c r="F94" i="1"/>
  <c r="F4" i="24"/>
  <c r="F219" i="1"/>
  <c r="F4" i="3"/>
  <c r="F314" i="1"/>
  <c r="F49" i="27"/>
  <c r="F5" i="1"/>
  <c r="F161" i="3"/>
  <c r="I35" i="49" l="1"/>
  <c r="I40" i="49"/>
  <c r="I37" i="49"/>
  <c r="I34" i="49"/>
  <c r="I36" i="49"/>
  <c r="I38" i="49"/>
  <c r="I39" i="49"/>
  <c r="H35" i="49"/>
  <c r="H38" i="49"/>
  <c r="H36" i="49"/>
  <c r="H34" i="49"/>
  <c r="H37" i="49"/>
  <c r="H39" i="49"/>
  <c r="H40" i="49"/>
  <c r="G16" i="49"/>
  <c r="G22" i="49"/>
  <c r="G8" i="49"/>
  <c r="G19" i="49"/>
  <c r="G18" i="49"/>
  <c r="R18" i="49" s="1"/>
  <c r="U18" i="49" s="1"/>
  <c r="G21" i="49"/>
  <c r="G17" i="49"/>
  <c r="R17" i="49" s="1"/>
  <c r="U17" i="49" s="1"/>
  <c r="G14" i="49"/>
  <c r="G11" i="49"/>
  <c r="G13" i="49"/>
  <c r="G12" i="49"/>
  <c r="G9" i="49"/>
  <c r="G20" i="49"/>
  <c r="P176" i="3"/>
  <c r="M170" i="3"/>
  <c r="J170" i="3"/>
  <c r="O170" i="3"/>
  <c r="O178" i="3" s="1"/>
  <c r="J176" i="3"/>
  <c r="J163" i="16" s="1"/>
  <c r="K170" i="3"/>
  <c r="M90" i="16"/>
  <c r="M176" i="3"/>
  <c r="M163" i="16" s="1"/>
  <c r="P170" i="3"/>
  <c r="P178" i="3" s="1"/>
  <c r="N176" i="3"/>
  <c r="N163" i="16" s="1"/>
  <c r="N170" i="3"/>
  <c r="L176" i="3"/>
  <c r="L163" i="16" s="1"/>
  <c r="L90" i="16"/>
  <c r="K176" i="3"/>
  <c r="K163" i="16" s="1"/>
  <c r="F35" i="14"/>
  <c r="R16" i="49"/>
  <c r="U16" i="49" s="1"/>
  <c r="K388" i="1"/>
  <c r="K408" i="1"/>
  <c r="L408" i="1" s="1"/>
  <c r="M408" i="1" s="1"/>
  <c r="N408" i="1" s="1"/>
  <c r="O408" i="1" s="1"/>
  <c r="P408" i="1" s="1"/>
  <c r="R22" i="49"/>
  <c r="U22" i="49" s="1"/>
  <c r="I66" i="26"/>
  <c r="I55" i="26"/>
  <c r="H59" i="27"/>
  <c r="H60" i="14"/>
  <c r="H74" i="27" s="1"/>
  <c r="H61" i="14"/>
  <c r="H75" i="27" s="1"/>
  <c r="I16" i="14"/>
  <c r="H31" i="14"/>
  <c r="J391" i="1"/>
  <c r="J428" i="1"/>
  <c r="K374" i="1"/>
  <c r="K394" i="1"/>
  <c r="J403" i="1"/>
  <c r="J429" i="1"/>
  <c r="K375" i="1"/>
  <c r="K382" i="1"/>
  <c r="L104" i="1"/>
  <c r="M104" i="1" s="1"/>
  <c r="N104" i="1" s="1"/>
  <c r="O104" i="1" s="1"/>
  <c r="P104" i="1" s="1"/>
  <c r="K411" i="1"/>
  <c r="L411" i="1" s="1"/>
  <c r="M411" i="1" s="1"/>
  <c r="N411" i="1" s="1"/>
  <c r="O411" i="1" s="1"/>
  <c r="P411" i="1" s="1"/>
  <c r="K409" i="1"/>
  <c r="L409" i="1" s="1"/>
  <c r="M409" i="1" s="1"/>
  <c r="N409" i="1" s="1"/>
  <c r="O409" i="1" s="1"/>
  <c r="P409" i="1" s="1"/>
  <c r="J431" i="1"/>
  <c r="K377" i="1"/>
  <c r="J425" i="1"/>
  <c r="K371" i="1"/>
  <c r="K389" i="1"/>
  <c r="K387" i="1"/>
  <c r="K541" i="1"/>
  <c r="L540" i="1"/>
  <c r="J18" i="1"/>
  <c r="K502" i="1"/>
  <c r="K390" i="1"/>
  <c r="K386" i="1"/>
  <c r="J421" i="1"/>
  <c r="K420" i="1"/>
  <c r="J379" i="1"/>
  <c r="J424" i="1"/>
  <c r="K370" i="1"/>
  <c r="K407" i="1"/>
  <c r="L407" i="1" s="1"/>
  <c r="M407" i="1" s="1"/>
  <c r="N407" i="1" s="1"/>
  <c r="O407" i="1" s="1"/>
  <c r="P407" i="1" s="1"/>
  <c r="K410" i="1"/>
  <c r="L410" i="1" s="1"/>
  <c r="M410" i="1" s="1"/>
  <c r="N410" i="1" s="1"/>
  <c r="O410" i="1" s="1"/>
  <c r="P410" i="1" s="1"/>
  <c r="K383" i="1"/>
  <c r="K406" i="1"/>
  <c r="J415" i="1"/>
  <c r="K401" i="1"/>
  <c r="L401" i="1" s="1"/>
  <c r="M401" i="1" s="1"/>
  <c r="N401" i="1" s="1"/>
  <c r="O401" i="1" s="1"/>
  <c r="P401" i="1" s="1"/>
  <c r="K400" i="1"/>
  <c r="L400" i="1" s="1"/>
  <c r="M400" i="1" s="1"/>
  <c r="N400" i="1" s="1"/>
  <c r="O400" i="1" s="1"/>
  <c r="P400" i="1" s="1"/>
  <c r="K384" i="1"/>
  <c r="K413" i="1"/>
  <c r="L413" i="1" s="1"/>
  <c r="M413" i="1" s="1"/>
  <c r="N413" i="1" s="1"/>
  <c r="O413" i="1" s="1"/>
  <c r="P413" i="1" s="1"/>
  <c r="L514" i="1"/>
  <c r="K523" i="1"/>
  <c r="K475" i="1"/>
  <c r="K395" i="1"/>
  <c r="L395" i="1" s="1"/>
  <c r="M395" i="1" s="1"/>
  <c r="N395" i="1" s="1"/>
  <c r="O395" i="1" s="1"/>
  <c r="P395" i="1" s="1"/>
  <c r="J430" i="1"/>
  <c r="K376" i="1"/>
  <c r="J427" i="1"/>
  <c r="K373" i="1"/>
  <c r="J426" i="1"/>
  <c r="K397" i="1"/>
  <c r="L397" i="1" s="1"/>
  <c r="M397" i="1" s="1"/>
  <c r="N397" i="1" s="1"/>
  <c r="O397" i="1" s="1"/>
  <c r="P397" i="1" s="1"/>
  <c r="K535" i="1"/>
  <c r="L526" i="1"/>
  <c r="L490" i="1"/>
  <c r="J432" i="1"/>
  <c r="K378" i="1"/>
  <c r="K385" i="1"/>
  <c r="K398" i="1"/>
  <c r="L398" i="1" s="1"/>
  <c r="M398" i="1" s="1"/>
  <c r="N398" i="1" s="1"/>
  <c r="O398" i="1" s="1"/>
  <c r="P398" i="1" s="1"/>
  <c r="K372" i="1"/>
  <c r="L103" i="1"/>
  <c r="M103" i="1" s="1"/>
  <c r="N103" i="1" s="1"/>
  <c r="O103" i="1" s="1"/>
  <c r="P103" i="1" s="1"/>
  <c r="K414" i="1"/>
  <c r="L414" i="1" s="1"/>
  <c r="M414" i="1" s="1"/>
  <c r="N414" i="1" s="1"/>
  <c r="O414" i="1" s="1"/>
  <c r="P414" i="1" s="1"/>
  <c r="K412" i="1"/>
  <c r="L412" i="1" s="1"/>
  <c r="M412" i="1" s="1"/>
  <c r="N412" i="1" s="1"/>
  <c r="O412" i="1" s="1"/>
  <c r="P412" i="1" s="1"/>
  <c r="L441" i="1"/>
  <c r="K548" i="1"/>
  <c r="L467" i="1"/>
  <c r="K574" i="1"/>
  <c r="L464" i="1"/>
  <c r="K571" i="1"/>
  <c r="E21" i="27"/>
  <c r="E41" i="27" s="1"/>
  <c r="K382" i="16"/>
  <c r="J387" i="16"/>
  <c r="K376" i="16"/>
  <c r="K372" i="16"/>
  <c r="I62" i="26"/>
  <c r="I73" i="26"/>
  <c r="I84" i="26"/>
  <c r="I95" i="26"/>
  <c r="J269" i="16"/>
  <c r="K269" i="16" s="1"/>
  <c r="I61" i="26"/>
  <c r="I72" i="26"/>
  <c r="I83" i="26"/>
  <c r="I94" i="26"/>
  <c r="I60" i="26"/>
  <c r="I71" i="26"/>
  <c r="I82" i="26"/>
  <c r="I93" i="26"/>
  <c r="I56" i="26"/>
  <c r="I67" i="26"/>
  <c r="I78" i="26"/>
  <c r="I89" i="26"/>
  <c r="J266" i="16"/>
  <c r="K266" i="16" s="1"/>
  <c r="I80" i="26"/>
  <c r="I91" i="26"/>
  <c r="I58" i="26"/>
  <c r="I69" i="26"/>
  <c r="K353" i="16"/>
  <c r="I92" i="26"/>
  <c r="I59" i="26"/>
  <c r="I70" i="26"/>
  <c r="I81" i="26"/>
  <c r="I68" i="26"/>
  <c r="I79" i="26"/>
  <c r="I90" i="26"/>
  <c r="I57" i="26"/>
  <c r="J263" i="16"/>
  <c r="I88" i="26"/>
  <c r="I77" i="26"/>
  <c r="I278" i="16"/>
  <c r="J268" i="16"/>
  <c r="I275" i="16"/>
  <c r="J265" i="16"/>
  <c r="I277" i="16"/>
  <c r="J267" i="16"/>
  <c r="J264" i="16"/>
  <c r="I280" i="16"/>
  <c r="J270" i="16"/>
  <c r="H344" i="16"/>
  <c r="H191" i="26"/>
  <c r="F296" i="1"/>
  <c r="F236" i="26" s="1"/>
  <c r="F291" i="1"/>
  <c r="F231" i="26" s="1"/>
  <c r="F292" i="1"/>
  <c r="F232" i="26" s="1"/>
  <c r="F293" i="1"/>
  <c r="F233" i="26" s="1"/>
  <c r="F294" i="1"/>
  <c r="F234" i="26" s="1"/>
  <c r="F295" i="1"/>
  <c r="F235" i="26" s="1"/>
  <c r="G291" i="1"/>
  <c r="G231" i="26" s="1"/>
  <c r="G292" i="1"/>
  <c r="G232" i="26" s="1"/>
  <c r="G293" i="1"/>
  <c r="G233" i="26" s="1"/>
  <c r="G294" i="1"/>
  <c r="G234" i="26" s="1"/>
  <c r="G295" i="1"/>
  <c r="G235" i="26" s="1"/>
  <c r="G296" i="1"/>
  <c r="G236" i="26" s="1"/>
  <c r="H287" i="1"/>
  <c r="H227" i="26" s="1"/>
  <c r="H282" i="1"/>
  <c r="H222" i="26" s="1"/>
  <c r="H283" i="1"/>
  <c r="H223" i="26" s="1"/>
  <c r="H284" i="1"/>
  <c r="H224" i="26" s="1"/>
  <c r="H285" i="1"/>
  <c r="H225" i="26" s="1"/>
  <c r="H286" i="1"/>
  <c r="H226" i="26" s="1"/>
  <c r="G286" i="1"/>
  <c r="G226" i="26" s="1"/>
  <c r="G287" i="1"/>
  <c r="G227" i="26" s="1"/>
  <c r="G282" i="1"/>
  <c r="G222" i="26" s="1"/>
  <c r="G283" i="1"/>
  <c r="G223" i="26" s="1"/>
  <c r="G285" i="1"/>
  <c r="G225" i="26" s="1"/>
  <c r="G284" i="1"/>
  <c r="G224" i="26" s="1"/>
  <c r="I282" i="1"/>
  <c r="I283" i="1"/>
  <c r="I223" i="26" s="1"/>
  <c r="I284" i="1"/>
  <c r="I224" i="26" s="1"/>
  <c r="I285" i="1"/>
  <c r="I225" i="26" s="1"/>
  <c r="I287" i="1"/>
  <c r="I227" i="26" s="1"/>
  <c r="I286" i="1"/>
  <c r="I226" i="26" s="1"/>
  <c r="F285" i="1"/>
  <c r="F225" i="26" s="1"/>
  <c r="F286" i="1"/>
  <c r="F226" i="26" s="1"/>
  <c r="F287" i="1"/>
  <c r="F227" i="26" s="1"/>
  <c r="F282" i="1"/>
  <c r="F222" i="26" s="1"/>
  <c r="F284" i="1"/>
  <c r="F224" i="26" s="1"/>
  <c r="F283" i="1"/>
  <c r="F223" i="26" s="1"/>
  <c r="I9" i="14"/>
  <c r="F206" i="1"/>
  <c r="E197" i="1"/>
  <c r="F159" i="1"/>
  <c r="E159" i="1"/>
  <c r="G27" i="14"/>
  <c r="G35" i="14" s="1"/>
  <c r="H24" i="14"/>
  <c r="E54" i="1"/>
  <c r="H23" i="1"/>
  <c r="H79" i="1"/>
  <c r="I19" i="1"/>
  <c r="J19" i="1" s="1"/>
  <c r="E86" i="1"/>
  <c r="E66" i="1" s="1"/>
  <c r="H17" i="1"/>
  <c r="I16" i="1"/>
  <c r="J16" i="1" s="1"/>
  <c r="G50" i="1"/>
  <c r="F70" i="1"/>
  <c r="I12" i="1"/>
  <c r="G51" i="1"/>
  <c r="F71" i="1"/>
  <c r="I294" i="16"/>
  <c r="I279" i="16"/>
  <c r="I296" i="16"/>
  <c r="J296" i="16" s="1"/>
  <c r="I297" i="16"/>
  <c r="J297" i="16" s="1"/>
  <c r="I276" i="16"/>
  <c r="I295" i="16"/>
  <c r="J295" i="16" s="1"/>
  <c r="G71" i="28"/>
  <c r="G124" i="28"/>
  <c r="G98" i="28"/>
  <c r="H470" i="1"/>
  <c r="I470" i="1" s="1"/>
  <c r="J470" i="1" s="1"/>
  <c r="H30" i="14"/>
  <c r="F58" i="49"/>
  <c r="Q58" i="49" s="1"/>
  <c r="T58" i="49" s="1"/>
  <c r="Q13" i="49"/>
  <c r="T13" i="49" s="1"/>
  <c r="R29" i="49"/>
  <c r="U29" i="49" s="1"/>
  <c r="F55" i="49"/>
  <c r="Q55" i="49" s="1"/>
  <c r="T55" i="49" s="1"/>
  <c r="F60" i="49"/>
  <c r="Q60" i="49" s="1"/>
  <c r="T60" i="49" s="1"/>
  <c r="F61" i="49"/>
  <c r="Q61" i="49" s="1"/>
  <c r="T61" i="49" s="1"/>
  <c r="R32" i="49"/>
  <c r="U32" i="49" s="1"/>
  <c r="R31" i="49"/>
  <c r="U31" i="49" s="1"/>
  <c r="R27" i="49"/>
  <c r="U27" i="49" s="1"/>
  <c r="R30" i="49"/>
  <c r="U30" i="49" s="1"/>
  <c r="R36" i="49"/>
  <c r="U36" i="49" s="1"/>
  <c r="R34" i="49"/>
  <c r="U34" i="49" s="1"/>
  <c r="R39" i="49"/>
  <c r="U39" i="49" s="1"/>
  <c r="R35" i="49"/>
  <c r="U35" i="49" s="1"/>
  <c r="R40" i="49"/>
  <c r="U40" i="49" s="1"/>
  <c r="R37" i="49"/>
  <c r="U37" i="49" s="1"/>
  <c r="R38" i="49"/>
  <c r="U38" i="49" s="1"/>
  <c r="F56" i="49"/>
  <c r="Q56" i="49" s="1"/>
  <c r="T56" i="49" s="1"/>
  <c r="Q32" i="49"/>
  <c r="T32" i="49" s="1"/>
  <c r="F57" i="49"/>
  <c r="Q57" i="49" s="1"/>
  <c r="T57" i="49" s="1"/>
  <c r="F59" i="49"/>
  <c r="Q59" i="49" s="1"/>
  <c r="T59" i="49" s="1"/>
  <c r="R28" i="49"/>
  <c r="U28" i="49" s="1"/>
  <c r="F48" i="49"/>
  <c r="Q48" i="49" s="1"/>
  <c r="T48" i="49" s="1"/>
  <c r="G5" i="28"/>
  <c r="G30" i="24"/>
  <c r="G562" i="1"/>
  <c r="I15" i="14"/>
  <c r="H18" i="14"/>
  <c r="F74" i="27"/>
  <c r="F16" i="27" s="1"/>
  <c r="F19" i="27" s="1"/>
  <c r="G70" i="27"/>
  <c r="G12" i="27" s="1"/>
  <c r="H12" i="14"/>
  <c r="H25" i="14"/>
  <c r="H55" i="14"/>
  <c r="H69" i="27" s="1"/>
  <c r="I10" i="14"/>
  <c r="G20" i="14"/>
  <c r="I17" i="14"/>
  <c r="H32" i="14"/>
  <c r="H62" i="14"/>
  <c r="H76" i="27" s="1"/>
  <c r="G566" i="1"/>
  <c r="G73" i="26" s="1"/>
  <c r="F579" i="1"/>
  <c r="E237" i="26"/>
  <c r="E20" i="26" s="1"/>
  <c r="H176" i="3"/>
  <c r="G18" i="27"/>
  <c r="F64" i="27"/>
  <c r="F145" i="26"/>
  <c r="F98" i="26"/>
  <c r="G11" i="27"/>
  <c r="F19" i="24"/>
  <c r="G14" i="24"/>
  <c r="E19" i="24"/>
  <c r="G31" i="1"/>
  <c r="G565" i="1"/>
  <c r="G72" i="26" s="1"/>
  <c r="F63" i="14"/>
  <c r="F48" i="14" s="1"/>
  <c r="E228" i="26"/>
  <c r="E19" i="26" s="1"/>
  <c r="I310" i="16"/>
  <c r="J310" i="16" s="1"/>
  <c r="G577" i="1"/>
  <c r="G83" i="26" s="1"/>
  <c r="G561" i="1"/>
  <c r="G563" i="1"/>
  <c r="G70" i="26" s="1"/>
  <c r="G560" i="1"/>
  <c r="G67" i="26" s="1"/>
  <c r="G559" i="1"/>
  <c r="G564" i="1"/>
  <c r="G575" i="1"/>
  <c r="G81" i="26" s="1"/>
  <c r="F555" i="1"/>
  <c r="G64" i="27"/>
  <c r="E197" i="26"/>
  <c r="E13" i="26" s="1"/>
  <c r="I170" i="3"/>
  <c r="O163" i="16"/>
  <c r="F591" i="1"/>
  <c r="E188" i="26"/>
  <c r="G176" i="3"/>
  <c r="I11" i="14"/>
  <c r="H26" i="14"/>
  <c r="F637" i="1"/>
  <c r="F639" i="1"/>
  <c r="F641" i="1"/>
  <c r="F634" i="1"/>
  <c r="F638" i="1"/>
  <c r="F39" i="1"/>
  <c r="F640" i="1"/>
  <c r="F636" i="1"/>
  <c r="F633" i="1"/>
  <c r="F635" i="1"/>
  <c r="F96" i="16"/>
  <c r="H170" i="3"/>
  <c r="G170" i="3"/>
  <c r="O90" i="16"/>
  <c r="I285" i="16"/>
  <c r="H10" i="49" s="1"/>
  <c r="E169" i="16"/>
  <c r="P163" i="16"/>
  <c r="F170" i="3"/>
  <c r="F204" i="3"/>
  <c r="F39" i="28" s="1"/>
  <c r="F88" i="28" s="1"/>
  <c r="E204" i="3"/>
  <c r="E39" i="28" s="1"/>
  <c r="E88" i="28" s="1"/>
  <c r="E90" i="28" s="1"/>
  <c r="E87" i="16" s="1"/>
  <c r="E170" i="3"/>
  <c r="E210" i="3"/>
  <c r="E57" i="28" s="1"/>
  <c r="E176" i="3"/>
  <c r="E163" i="16" s="1"/>
  <c r="I176" i="3"/>
  <c r="F176" i="3"/>
  <c r="F210" i="3"/>
  <c r="F57" i="28" s="1"/>
  <c r="I302" i="16"/>
  <c r="I189" i="16"/>
  <c r="G576" i="1"/>
  <c r="G554" i="1"/>
  <c r="G24" i="1"/>
  <c r="G43" i="1"/>
  <c r="G44" i="1" s="1"/>
  <c r="G647" i="1"/>
  <c r="F627" i="1"/>
  <c r="F622" i="1"/>
  <c r="F626" i="1"/>
  <c r="F38" i="1"/>
  <c r="F624" i="1"/>
  <c r="F623" i="1"/>
  <c r="F629" i="1"/>
  <c r="F625" i="1"/>
  <c r="F628" i="1"/>
  <c r="F621" i="1"/>
  <c r="G503" i="1"/>
  <c r="G610" i="1" s="1"/>
  <c r="G113" i="26" s="1"/>
  <c r="F511" i="1"/>
  <c r="G451" i="1"/>
  <c r="F460" i="1"/>
  <c r="G626" i="1"/>
  <c r="G128" i="26" s="1"/>
  <c r="G625" i="1"/>
  <c r="G127" i="26" s="1"/>
  <c r="G623" i="1"/>
  <c r="G125" i="26" s="1"/>
  <c r="G38" i="1"/>
  <c r="G629" i="1"/>
  <c r="G624" i="1"/>
  <c r="G126" i="26" s="1"/>
  <c r="G622" i="1"/>
  <c r="G124" i="26" s="1"/>
  <c r="G628" i="1"/>
  <c r="G621" i="1"/>
  <c r="G627" i="1"/>
  <c r="G573" i="1"/>
  <c r="G79" i="26" s="1"/>
  <c r="G572" i="1"/>
  <c r="G78" i="26" s="1"/>
  <c r="F31" i="1"/>
  <c r="F34" i="1" s="1"/>
  <c r="F560" i="1"/>
  <c r="F559" i="1"/>
  <c r="F563" i="1"/>
  <c r="F565" i="1"/>
  <c r="F13" i="1"/>
  <c r="F561" i="1"/>
  <c r="F562" i="1"/>
  <c r="F558" i="1"/>
  <c r="F564" i="1"/>
  <c r="F566" i="1"/>
  <c r="F304" i="1"/>
  <c r="I111" i="16"/>
  <c r="I184" i="16"/>
  <c r="G552" i="1"/>
  <c r="G633" i="1"/>
  <c r="G635" i="1"/>
  <c r="G136" i="26" s="1"/>
  <c r="G639" i="1"/>
  <c r="G634" i="1"/>
  <c r="G135" i="26" s="1"/>
  <c r="G638" i="1"/>
  <c r="G139" i="26" s="1"/>
  <c r="G39" i="1"/>
  <c r="G637" i="1"/>
  <c r="G138" i="26" s="1"/>
  <c r="G641" i="1"/>
  <c r="G636" i="1"/>
  <c r="G137" i="26" s="1"/>
  <c r="G640" i="1"/>
  <c r="E151" i="26"/>
  <c r="H499" i="1"/>
  <c r="I492" i="1"/>
  <c r="J492" i="1" s="1"/>
  <c r="F606" i="1"/>
  <c r="G604" i="1"/>
  <c r="G597" i="1"/>
  <c r="G598" i="1"/>
  <c r="G102" i="26" s="1"/>
  <c r="G605" i="1"/>
  <c r="G603" i="1"/>
  <c r="G36" i="1"/>
  <c r="G602" i="1"/>
  <c r="G106" i="26" s="1"/>
  <c r="G600" i="1"/>
  <c r="G104" i="26" s="1"/>
  <c r="G601" i="1"/>
  <c r="G105" i="26" s="1"/>
  <c r="G599" i="1"/>
  <c r="G103" i="26" s="1"/>
  <c r="G546" i="1"/>
  <c r="G553" i="1"/>
  <c r="G570" i="1"/>
  <c r="G591" i="1"/>
  <c r="F611" i="1"/>
  <c r="F617" i="1"/>
  <c r="F614" i="1"/>
  <c r="F613" i="1"/>
  <c r="F20" i="1"/>
  <c r="F610" i="1"/>
  <c r="F609" i="1"/>
  <c r="F37" i="1"/>
  <c r="F615" i="1"/>
  <c r="F612" i="1"/>
  <c r="F616" i="1"/>
  <c r="G616" i="1"/>
  <c r="G617" i="1"/>
  <c r="G20" i="1"/>
  <c r="G609" i="1"/>
  <c r="G611" i="1"/>
  <c r="G114" i="26" s="1"/>
  <c r="G612" i="1"/>
  <c r="G115" i="26" s="1"/>
  <c r="G614" i="1"/>
  <c r="G117" i="26" s="1"/>
  <c r="G37" i="1"/>
  <c r="G613" i="1"/>
  <c r="G116" i="26" s="1"/>
  <c r="G615" i="1"/>
  <c r="G549" i="1"/>
  <c r="G57" i="26" s="1"/>
  <c r="H583" i="1"/>
  <c r="H88" i="26" s="1"/>
  <c r="H33" i="1"/>
  <c r="H588" i="1"/>
  <c r="H93" i="26" s="1"/>
  <c r="H587" i="1"/>
  <c r="H92" i="26" s="1"/>
  <c r="H589" i="1"/>
  <c r="H94" i="26" s="1"/>
  <c r="H585" i="1"/>
  <c r="H90" i="26" s="1"/>
  <c r="F42" i="14"/>
  <c r="H54" i="14"/>
  <c r="H68" i="27" s="1"/>
  <c r="I39" i="14"/>
  <c r="J39" i="14" s="1"/>
  <c r="H70" i="27"/>
  <c r="H12" i="27" s="1"/>
  <c r="F71" i="27"/>
  <c r="F10" i="27"/>
  <c r="F13" i="27" s="1"/>
  <c r="G57" i="14"/>
  <c r="G550" i="1"/>
  <c r="H553" i="1"/>
  <c r="G30" i="1"/>
  <c r="G548" i="1"/>
  <c r="G56" i="26" s="1"/>
  <c r="H31" i="1"/>
  <c r="G32" i="1"/>
  <c r="G574" i="1"/>
  <c r="G571" i="1"/>
  <c r="G77" i="26" s="1"/>
  <c r="G13" i="1"/>
  <c r="H572" i="1"/>
  <c r="F257" i="1"/>
  <c r="F197" i="26"/>
  <c r="F13" i="26" s="1"/>
  <c r="I447" i="1"/>
  <c r="J447" i="1" s="1"/>
  <c r="I439" i="1"/>
  <c r="J439" i="1" s="1"/>
  <c r="I446" i="1"/>
  <c r="J446" i="1" s="1"/>
  <c r="I445" i="1"/>
  <c r="J445" i="1" s="1"/>
  <c r="I443" i="1"/>
  <c r="J443" i="1" s="1"/>
  <c r="I444" i="1"/>
  <c r="J444" i="1" s="1"/>
  <c r="I442" i="1"/>
  <c r="J442" i="1" s="1"/>
  <c r="H440" i="1"/>
  <c r="H448" i="1" s="1"/>
  <c r="G547" i="1"/>
  <c r="I454" i="1"/>
  <c r="J454" i="1" s="1"/>
  <c r="H561" i="1"/>
  <c r="I457" i="1"/>
  <c r="J457" i="1" s="1"/>
  <c r="H564" i="1"/>
  <c r="H563" i="1"/>
  <c r="I456" i="1"/>
  <c r="J456" i="1" s="1"/>
  <c r="H562" i="1"/>
  <c r="I455" i="1"/>
  <c r="J455" i="1" s="1"/>
  <c r="I459" i="1"/>
  <c r="J459" i="1" s="1"/>
  <c r="H566" i="1"/>
  <c r="I453" i="1"/>
  <c r="J453" i="1" s="1"/>
  <c r="H560" i="1"/>
  <c r="I452" i="1"/>
  <c r="J452" i="1" s="1"/>
  <c r="H559" i="1"/>
  <c r="I458" i="1"/>
  <c r="J458" i="1" s="1"/>
  <c r="H565" i="1"/>
  <c r="I468" i="1"/>
  <c r="J468" i="1" s="1"/>
  <c r="H575" i="1"/>
  <c r="G84" i="26"/>
  <c r="I469" i="1"/>
  <c r="J469" i="1" s="1"/>
  <c r="I471" i="1"/>
  <c r="J471" i="1" s="1"/>
  <c r="I466" i="1"/>
  <c r="J466" i="1" s="1"/>
  <c r="I463" i="1"/>
  <c r="J463" i="1" s="1"/>
  <c r="I465" i="1"/>
  <c r="J465" i="1" s="1"/>
  <c r="I483" i="1"/>
  <c r="J483" i="1" s="1"/>
  <c r="K483" i="1" s="1"/>
  <c r="L483" i="1" s="1"/>
  <c r="M483" i="1" s="1"/>
  <c r="N483" i="1" s="1"/>
  <c r="O483" i="1" s="1"/>
  <c r="P483" i="1" s="1"/>
  <c r="H590" i="1"/>
  <c r="H584" i="1"/>
  <c r="I477" i="1"/>
  <c r="J477" i="1" s="1"/>
  <c r="K477" i="1" s="1"/>
  <c r="L477" i="1" s="1"/>
  <c r="M477" i="1" s="1"/>
  <c r="N477" i="1" s="1"/>
  <c r="O477" i="1" s="1"/>
  <c r="P477" i="1" s="1"/>
  <c r="G95" i="26"/>
  <c r="G89" i="26"/>
  <c r="I479" i="1"/>
  <c r="J479" i="1" s="1"/>
  <c r="K479" i="1" s="1"/>
  <c r="L479" i="1" s="1"/>
  <c r="M479" i="1" s="1"/>
  <c r="N479" i="1" s="1"/>
  <c r="O479" i="1" s="1"/>
  <c r="P479" i="1" s="1"/>
  <c r="H586" i="1"/>
  <c r="H484" i="1"/>
  <c r="G5" i="38"/>
  <c r="G5" i="27"/>
  <c r="G366" i="16"/>
  <c r="G314" i="1"/>
  <c r="G5" i="11"/>
  <c r="G159" i="26"/>
  <c r="G5" i="26"/>
  <c r="G259" i="16"/>
  <c r="G181" i="11"/>
  <c r="G74" i="14"/>
  <c r="G161" i="3"/>
  <c r="G357" i="11"/>
  <c r="G228" i="16"/>
  <c r="G219" i="1"/>
  <c r="G4" i="24"/>
  <c r="G4" i="3"/>
  <c r="H5" i="16"/>
  <c r="H130" i="1" s="1"/>
  <c r="G157" i="38"/>
  <c r="G94" i="1"/>
  <c r="G5" i="14"/>
  <c r="G51" i="26"/>
  <c r="G49" i="27"/>
  <c r="G5" i="1"/>
  <c r="G81" i="38"/>
  <c r="J40" i="49" l="1"/>
  <c r="J35" i="49"/>
  <c r="J39" i="49"/>
  <c r="J34" i="49"/>
  <c r="J37" i="49"/>
  <c r="J38" i="49"/>
  <c r="J36" i="49"/>
  <c r="H19" i="49"/>
  <c r="H18" i="49"/>
  <c r="H20" i="49"/>
  <c r="H22" i="49"/>
  <c r="H14" i="49"/>
  <c r="H11" i="49"/>
  <c r="H13" i="49"/>
  <c r="H16" i="49"/>
  <c r="H8" i="49"/>
  <c r="H17" i="49"/>
  <c r="H12" i="49"/>
  <c r="H21" i="49"/>
  <c r="H9" i="49"/>
  <c r="P90" i="16"/>
  <c r="L178" i="3"/>
  <c r="M18" i="16"/>
  <c r="M178" i="3"/>
  <c r="K178" i="3"/>
  <c r="K90" i="16"/>
  <c r="K18" i="16" s="1"/>
  <c r="N178" i="3"/>
  <c r="N90" i="16"/>
  <c r="N18" i="16" s="1"/>
  <c r="L18" i="16"/>
  <c r="J178" i="3"/>
  <c r="J90" i="16"/>
  <c r="J18" i="16" s="1"/>
  <c r="J11" i="14"/>
  <c r="I55" i="27"/>
  <c r="I12" i="27" s="1"/>
  <c r="J17" i="14"/>
  <c r="I61" i="27"/>
  <c r="H33" i="14"/>
  <c r="E155" i="16"/>
  <c r="E157" i="16" s="1"/>
  <c r="E237" i="16" s="1"/>
  <c r="J417" i="1"/>
  <c r="L387" i="1"/>
  <c r="M387" i="1" s="1"/>
  <c r="N387" i="1" s="1"/>
  <c r="O387" i="1" s="1"/>
  <c r="P387" i="1" s="1"/>
  <c r="F59" i="28"/>
  <c r="F115" i="28"/>
  <c r="F117" i="28" s="1"/>
  <c r="F160" i="16" s="1"/>
  <c r="E59" i="28"/>
  <c r="E115" i="28"/>
  <c r="E117" i="28" s="1"/>
  <c r="E160" i="16" s="1"/>
  <c r="J66" i="26"/>
  <c r="I30" i="14"/>
  <c r="I60" i="14"/>
  <c r="I74" i="27" s="1"/>
  <c r="J16" i="14"/>
  <c r="I61" i="14"/>
  <c r="I75" i="27" s="1"/>
  <c r="I60" i="27"/>
  <c r="I31" i="14"/>
  <c r="H20" i="14"/>
  <c r="J15" i="14"/>
  <c r="J60" i="14" s="1"/>
  <c r="J74" i="27" s="1"/>
  <c r="I59" i="27"/>
  <c r="E8" i="24"/>
  <c r="J276" i="16"/>
  <c r="J127" i="26" s="1"/>
  <c r="K263" i="16"/>
  <c r="J55" i="26"/>
  <c r="L383" i="1"/>
  <c r="M383" i="1" s="1"/>
  <c r="N383" i="1" s="1"/>
  <c r="O383" i="1" s="1"/>
  <c r="P383" i="1" s="1"/>
  <c r="L386" i="1"/>
  <c r="M386" i="1" s="1"/>
  <c r="N386" i="1" s="1"/>
  <c r="O386" i="1" s="1"/>
  <c r="P386" i="1" s="1"/>
  <c r="L389" i="1"/>
  <c r="M389" i="1" s="1"/>
  <c r="N389" i="1" s="1"/>
  <c r="O389" i="1" s="1"/>
  <c r="P389" i="1" s="1"/>
  <c r="K391" i="1"/>
  <c r="L382" i="1"/>
  <c r="L376" i="1"/>
  <c r="K430" i="1"/>
  <c r="L390" i="1"/>
  <c r="M390" i="1" s="1"/>
  <c r="N390" i="1" s="1"/>
  <c r="O390" i="1" s="1"/>
  <c r="P390" i="1" s="1"/>
  <c r="L371" i="1"/>
  <c r="K425" i="1"/>
  <c r="L375" i="1"/>
  <c r="K429" i="1"/>
  <c r="M490" i="1"/>
  <c r="M526" i="1"/>
  <c r="L535" i="1"/>
  <c r="L384" i="1"/>
  <c r="M384" i="1" s="1"/>
  <c r="N384" i="1" s="1"/>
  <c r="O384" i="1" s="1"/>
  <c r="P384" i="1" s="1"/>
  <c r="K424" i="1"/>
  <c r="K379" i="1"/>
  <c r="L370" i="1"/>
  <c r="L502" i="1"/>
  <c r="K431" i="1"/>
  <c r="L377" i="1"/>
  <c r="J603" i="1"/>
  <c r="J597" i="1"/>
  <c r="J605" i="1"/>
  <c r="J598" i="1"/>
  <c r="J600" i="1"/>
  <c r="J601" i="1"/>
  <c r="J599" i="1"/>
  <c r="J602" i="1"/>
  <c r="J604" i="1"/>
  <c r="K16" i="1"/>
  <c r="J36" i="1"/>
  <c r="L372" i="1"/>
  <c r="K426" i="1"/>
  <c r="J484" i="1"/>
  <c r="J433" i="1"/>
  <c r="J625" i="1"/>
  <c r="J627" i="1"/>
  <c r="J628" i="1"/>
  <c r="J622" i="1"/>
  <c r="J623" i="1"/>
  <c r="J626" i="1"/>
  <c r="J629" i="1"/>
  <c r="J624" i="1"/>
  <c r="J621" i="1"/>
  <c r="K18" i="1"/>
  <c r="J78" i="1"/>
  <c r="J38" i="1"/>
  <c r="L394" i="1"/>
  <c r="K403" i="1"/>
  <c r="L475" i="1"/>
  <c r="K484" i="1"/>
  <c r="L541" i="1"/>
  <c r="M540" i="1"/>
  <c r="L388" i="1"/>
  <c r="M388" i="1" s="1"/>
  <c r="N388" i="1" s="1"/>
  <c r="O388" i="1" s="1"/>
  <c r="P388" i="1" s="1"/>
  <c r="I582" i="1"/>
  <c r="J12" i="1"/>
  <c r="J636" i="1"/>
  <c r="J638" i="1"/>
  <c r="J639" i="1"/>
  <c r="J633" i="1"/>
  <c r="J641" i="1"/>
  <c r="J634" i="1"/>
  <c r="J635" i="1"/>
  <c r="J637" i="1"/>
  <c r="J640" i="1"/>
  <c r="K19" i="1"/>
  <c r="J79" i="1"/>
  <c r="J39" i="1"/>
  <c r="L385" i="1"/>
  <c r="M385" i="1" s="1"/>
  <c r="N385" i="1" s="1"/>
  <c r="O385" i="1" s="1"/>
  <c r="P385" i="1" s="1"/>
  <c r="K421" i="1"/>
  <c r="L420" i="1"/>
  <c r="L374" i="1"/>
  <c r="K428" i="1"/>
  <c r="K492" i="1"/>
  <c r="J499" i="1"/>
  <c r="L378" i="1"/>
  <c r="K432" i="1"/>
  <c r="K427" i="1"/>
  <c r="L373" i="1"/>
  <c r="M514" i="1"/>
  <c r="L523" i="1"/>
  <c r="L406" i="1"/>
  <c r="K415" i="1"/>
  <c r="J10" i="14"/>
  <c r="I54" i="27"/>
  <c r="K39" i="14"/>
  <c r="L39" i="14" s="1"/>
  <c r="J9" i="14"/>
  <c r="J54" i="14" s="1"/>
  <c r="I53" i="27"/>
  <c r="K452" i="1"/>
  <c r="J559" i="1"/>
  <c r="K453" i="1"/>
  <c r="J560" i="1"/>
  <c r="K457" i="1"/>
  <c r="J564" i="1"/>
  <c r="K459" i="1"/>
  <c r="J566" i="1"/>
  <c r="K454" i="1"/>
  <c r="J561" i="1"/>
  <c r="K455" i="1"/>
  <c r="J562" i="1"/>
  <c r="K456" i="1"/>
  <c r="J563" i="1"/>
  <c r="K458" i="1"/>
  <c r="J565" i="1"/>
  <c r="K446" i="1"/>
  <c r="J553" i="1"/>
  <c r="K439" i="1"/>
  <c r="J546" i="1"/>
  <c r="K447" i="1"/>
  <c r="J554" i="1"/>
  <c r="K442" i="1"/>
  <c r="J549" i="1"/>
  <c r="K444" i="1"/>
  <c r="J551" i="1"/>
  <c r="K443" i="1"/>
  <c r="J550" i="1"/>
  <c r="K445" i="1"/>
  <c r="J552" i="1"/>
  <c r="M441" i="1"/>
  <c r="L548" i="1"/>
  <c r="H472" i="1"/>
  <c r="J572" i="1"/>
  <c r="K465" i="1"/>
  <c r="M464" i="1"/>
  <c r="L571" i="1"/>
  <c r="K463" i="1"/>
  <c r="J570" i="1"/>
  <c r="J472" i="1"/>
  <c r="K470" i="1"/>
  <c r="J577" i="1"/>
  <c r="J573" i="1"/>
  <c r="K466" i="1"/>
  <c r="M467" i="1"/>
  <c r="L574" i="1"/>
  <c r="K468" i="1"/>
  <c r="J575" i="1"/>
  <c r="K471" i="1"/>
  <c r="J578" i="1"/>
  <c r="K469" i="1"/>
  <c r="J576" i="1"/>
  <c r="L376" i="16"/>
  <c r="K387" i="16"/>
  <c r="L372" i="16"/>
  <c r="L382" i="16"/>
  <c r="J279" i="16"/>
  <c r="J108" i="26" s="1"/>
  <c r="J113" i="26"/>
  <c r="K297" i="16"/>
  <c r="K296" i="16"/>
  <c r="J57" i="26"/>
  <c r="J68" i="26"/>
  <c r="J79" i="26"/>
  <c r="J90" i="26"/>
  <c r="J61" i="26"/>
  <c r="J72" i="26"/>
  <c r="J83" i="26"/>
  <c r="J94" i="26"/>
  <c r="I336" i="16"/>
  <c r="I222" i="26" s="1"/>
  <c r="J302" i="16"/>
  <c r="I103" i="26"/>
  <c r="I114" i="26"/>
  <c r="I125" i="26"/>
  <c r="I136" i="26"/>
  <c r="K94" i="26"/>
  <c r="K61" i="26"/>
  <c r="K72" i="26"/>
  <c r="K83" i="26"/>
  <c r="I104" i="26"/>
  <c r="I115" i="26"/>
  <c r="I126" i="26"/>
  <c r="I137" i="26"/>
  <c r="L353" i="16"/>
  <c r="I106" i="26"/>
  <c r="I117" i="26"/>
  <c r="I128" i="26"/>
  <c r="I139" i="26"/>
  <c r="J285" i="16"/>
  <c r="I14" i="49" s="1"/>
  <c r="I119" i="26"/>
  <c r="I130" i="26"/>
  <c r="I141" i="26"/>
  <c r="I108" i="26"/>
  <c r="J62" i="26"/>
  <c r="J73" i="26"/>
  <c r="J84" i="26"/>
  <c r="J95" i="26"/>
  <c r="I107" i="26"/>
  <c r="I118" i="26"/>
  <c r="I129" i="26"/>
  <c r="I140" i="26"/>
  <c r="J148" i="26"/>
  <c r="J149" i="26" s="1"/>
  <c r="J81" i="26"/>
  <c r="J92" i="26"/>
  <c r="J59" i="26"/>
  <c r="J70" i="26"/>
  <c r="J191" i="26"/>
  <c r="J197" i="26" s="1"/>
  <c r="J344" i="16"/>
  <c r="K310" i="16"/>
  <c r="K295" i="16"/>
  <c r="I131" i="26"/>
  <c r="I142" i="26"/>
  <c r="I109" i="26"/>
  <c r="I120" i="26"/>
  <c r="J69" i="26"/>
  <c r="J80" i="26"/>
  <c r="J91" i="26"/>
  <c r="J58" i="26"/>
  <c r="K58" i="26"/>
  <c r="K69" i="26"/>
  <c r="K80" i="26"/>
  <c r="K91" i="26"/>
  <c r="I105" i="26"/>
  <c r="I116" i="26"/>
  <c r="I127" i="26"/>
  <c r="I138" i="26"/>
  <c r="J294" i="16"/>
  <c r="I20" i="49" s="1"/>
  <c r="J56" i="26"/>
  <c r="J67" i="26"/>
  <c r="J78" i="26"/>
  <c r="J89" i="26"/>
  <c r="J93" i="26"/>
  <c r="J60" i="26"/>
  <c r="J71" i="26"/>
  <c r="J82" i="26"/>
  <c r="I135" i="26"/>
  <c r="I124" i="26"/>
  <c r="I113" i="26"/>
  <c r="I102" i="26"/>
  <c r="J77" i="26"/>
  <c r="J88" i="26"/>
  <c r="O18" i="16"/>
  <c r="P18" i="16"/>
  <c r="K265" i="16"/>
  <c r="J275" i="16"/>
  <c r="K279" i="16"/>
  <c r="L269" i="16"/>
  <c r="K264" i="16"/>
  <c r="K268" i="16"/>
  <c r="J278" i="16"/>
  <c r="K267" i="16"/>
  <c r="J277" i="16"/>
  <c r="K270" i="16"/>
  <c r="J280" i="16"/>
  <c r="L266" i="16"/>
  <c r="K276" i="16"/>
  <c r="E41" i="28"/>
  <c r="F90" i="28"/>
  <c r="F87" i="16" s="1"/>
  <c r="F41" i="28"/>
  <c r="F21" i="27"/>
  <c r="F41" i="27" s="1"/>
  <c r="I24" i="14"/>
  <c r="I344" i="16"/>
  <c r="I191" i="26"/>
  <c r="F237" i="26"/>
  <c r="F20" i="26" s="1"/>
  <c r="F228" i="26"/>
  <c r="F19" i="26" s="1"/>
  <c r="F246" i="1"/>
  <c r="F186" i="26" s="1"/>
  <c r="F247" i="1"/>
  <c r="F187" i="26" s="1"/>
  <c r="F242" i="1"/>
  <c r="F243" i="1"/>
  <c r="F183" i="26" s="1"/>
  <c r="F244" i="1"/>
  <c r="F184" i="26" s="1"/>
  <c r="F245" i="1"/>
  <c r="F185" i="26" s="1"/>
  <c r="F297" i="1"/>
  <c r="F235" i="1"/>
  <c r="F175" i="26" s="1"/>
  <c r="F236" i="1"/>
  <c r="F176" i="26" s="1"/>
  <c r="F237" i="1"/>
  <c r="F177" i="26" s="1"/>
  <c r="F238" i="1"/>
  <c r="F178" i="26" s="1"/>
  <c r="F234" i="1"/>
  <c r="F174" i="26" s="1"/>
  <c r="F233" i="1"/>
  <c r="F173" i="26" s="1"/>
  <c r="F288" i="1"/>
  <c r="F223" i="1"/>
  <c r="F163" i="26" s="1"/>
  <c r="F224" i="1"/>
  <c r="F164" i="26" s="1"/>
  <c r="F225" i="1"/>
  <c r="F165" i="26" s="1"/>
  <c r="F226" i="1"/>
  <c r="F166" i="26" s="1"/>
  <c r="F227" i="1"/>
  <c r="F167" i="26" s="1"/>
  <c r="F228" i="1"/>
  <c r="F168" i="26" s="1"/>
  <c r="F229" i="1"/>
  <c r="F169" i="26" s="1"/>
  <c r="H291" i="1"/>
  <c r="H231" i="26" s="1"/>
  <c r="H292" i="1"/>
  <c r="H232" i="26" s="1"/>
  <c r="H293" i="1"/>
  <c r="H233" i="26" s="1"/>
  <c r="H294" i="1"/>
  <c r="H234" i="26" s="1"/>
  <c r="H295" i="1"/>
  <c r="H235" i="26" s="1"/>
  <c r="H296" i="1"/>
  <c r="H236" i="26" s="1"/>
  <c r="H27" i="14"/>
  <c r="H35" i="14" s="1"/>
  <c r="I17" i="1"/>
  <c r="J17" i="1" s="1"/>
  <c r="J20" i="1" s="1"/>
  <c r="I79" i="1"/>
  <c r="I23" i="1"/>
  <c r="J23" i="1" s="1"/>
  <c r="H83" i="1"/>
  <c r="H303" i="1" s="1"/>
  <c r="H242" i="26" s="1"/>
  <c r="H51" i="1"/>
  <c r="G71" i="1"/>
  <c r="H50" i="1"/>
  <c r="G70" i="1"/>
  <c r="H71" i="28"/>
  <c r="H124" i="28"/>
  <c r="H98" i="28"/>
  <c r="F52" i="49"/>
  <c r="Q52" i="49" s="1"/>
  <c r="T52" i="49" s="1"/>
  <c r="I18" i="14"/>
  <c r="F77" i="27"/>
  <c r="F79" i="27" s="1"/>
  <c r="H397" i="16"/>
  <c r="G39" i="11" s="1"/>
  <c r="F4" i="49"/>
  <c r="F44" i="49" s="1"/>
  <c r="G61" i="49"/>
  <c r="R61" i="49" s="1"/>
  <c r="U61" i="49" s="1"/>
  <c r="G55" i="49"/>
  <c r="R55" i="49" s="1"/>
  <c r="U55" i="49" s="1"/>
  <c r="G58" i="49"/>
  <c r="R58" i="49" s="1"/>
  <c r="U58" i="49" s="1"/>
  <c r="G59" i="49"/>
  <c r="R59" i="49" s="1"/>
  <c r="U59" i="49" s="1"/>
  <c r="H57" i="49"/>
  <c r="G56" i="49"/>
  <c r="R56" i="49" s="1"/>
  <c r="U56" i="49" s="1"/>
  <c r="G60" i="49"/>
  <c r="R60" i="49" s="1"/>
  <c r="U60" i="49" s="1"/>
  <c r="R21" i="49"/>
  <c r="U21" i="49" s="1"/>
  <c r="R20" i="49"/>
  <c r="U20" i="49" s="1"/>
  <c r="G57" i="49"/>
  <c r="R57" i="49" s="1"/>
  <c r="U57" i="49" s="1"/>
  <c r="R19" i="49"/>
  <c r="U19" i="49" s="1"/>
  <c r="R14" i="49"/>
  <c r="U14" i="49" s="1"/>
  <c r="Q10" i="49"/>
  <c r="T10" i="49" s="1"/>
  <c r="F49" i="49"/>
  <c r="Q49" i="49" s="1"/>
  <c r="T49" i="49" s="1"/>
  <c r="Q11" i="49"/>
  <c r="T11" i="49" s="1"/>
  <c r="F50" i="49"/>
  <c r="Q50" i="49" s="1"/>
  <c r="T50" i="49" s="1"/>
  <c r="F53" i="49"/>
  <c r="Q53" i="49" s="1"/>
  <c r="T53" i="49" s="1"/>
  <c r="Q14" i="49"/>
  <c r="T14" i="49" s="1"/>
  <c r="Q12" i="49"/>
  <c r="T12" i="49" s="1"/>
  <c r="F51" i="49"/>
  <c r="Q51" i="49" s="1"/>
  <c r="T51" i="49" s="1"/>
  <c r="T8" i="49"/>
  <c r="F47" i="49"/>
  <c r="Q47" i="49" s="1"/>
  <c r="T47" i="49" s="1"/>
  <c r="H228" i="26"/>
  <c r="G228" i="26"/>
  <c r="G237" i="26"/>
  <c r="H5" i="28"/>
  <c r="H30" i="24"/>
  <c r="H148" i="26"/>
  <c r="H149" i="26" s="1"/>
  <c r="G140" i="26"/>
  <c r="G129" i="26"/>
  <c r="G107" i="26"/>
  <c r="G118" i="26"/>
  <c r="G91" i="26"/>
  <c r="G82" i="26"/>
  <c r="H73" i="26"/>
  <c r="E179" i="26"/>
  <c r="E11" i="26" s="1"/>
  <c r="G71" i="26"/>
  <c r="G80" i="26"/>
  <c r="G68" i="26"/>
  <c r="H72" i="26"/>
  <c r="G61" i="26"/>
  <c r="G69" i="26"/>
  <c r="G60" i="26"/>
  <c r="G58" i="26"/>
  <c r="G62" i="26"/>
  <c r="G74" i="27"/>
  <c r="G16" i="27" s="1"/>
  <c r="I163" i="16"/>
  <c r="I90" i="16"/>
  <c r="H163" i="16"/>
  <c r="H90" i="16"/>
  <c r="G163" i="16"/>
  <c r="G90" i="16"/>
  <c r="F90" i="16"/>
  <c r="F92" i="16" s="1"/>
  <c r="F163" i="16"/>
  <c r="E90" i="16"/>
  <c r="I12" i="14"/>
  <c r="I55" i="14"/>
  <c r="I69" i="27" s="1"/>
  <c r="I25" i="14"/>
  <c r="F65" i="14"/>
  <c r="F50" i="14" s="1"/>
  <c r="G90" i="38"/>
  <c r="I32" i="14"/>
  <c r="I62" i="14"/>
  <c r="I76" i="27" s="1"/>
  <c r="H68" i="26"/>
  <c r="G63" i="14"/>
  <c r="G48" i="14" s="1"/>
  <c r="F656" i="1"/>
  <c r="E239" i="1"/>
  <c r="E279" i="1"/>
  <c r="I484" i="1"/>
  <c r="F151" i="26"/>
  <c r="E14" i="24"/>
  <c r="H62" i="27"/>
  <c r="F14" i="24"/>
  <c r="H17" i="27"/>
  <c r="H18" i="27"/>
  <c r="H11" i="27"/>
  <c r="H16" i="27"/>
  <c r="H56" i="27"/>
  <c r="E230" i="1"/>
  <c r="H70" i="26"/>
  <c r="E270" i="1"/>
  <c r="H67" i="26"/>
  <c r="G178" i="3"/>
  <c r="F658" i="1"/>
  <c r="F642" i="1"/>
  <c r="I26" i="14"/>
  <c r="G297" i="1"/>
  <c r="G40" i="1"/>
  <c r="F40" i="1"/>
  <c r="F46" i="1" s="1"/>
  <c r="F655" i="1"/>
  <c r="H178" i="3"/>
  <c r="E22" i="16"/>
  <c r="E24" i="16" s="1"/>
  <c r="E96" i="16"/>
  <c r="H576" i="1"/>
  <c r="H578" i="1"/>
  <c r="H84" i="26" s="1"/>
  <c r="F657" i="1"/>
  <c r="F26" i="1"/>
  <c r="F653" i="1"/>
  <c r="F654" i="1"/>
  <c r="F652" i="1"/>
  <c r="F659" i="1"/>
  <c r="H552" i="1"/>
  <c r="F178" i="3"/>
  <c r="E178" i="3"/>
  <c r="I178" i="3"/>
  <c r="H551" i="1"/>
  <c r="H59" i="26" s="1"/>
  <c r="H550" i="1"/>
  <c r="H58" i="26" s="1"/>
  <c r="H554" i="1"/>
  <c r="H62" i="26" s="1"/>
  <c r="G108" i="26"/>
  <c r="H61" i="26"/>
  <c r="F630" i="1"/>
  <c r="G630" i="1"/>
  <c r="H503" i="1"/>
  <c r="H610" i="1" s="1"/>
  <c r="H113" i="26" s="1"/>
  <c r="G511" i="1"/>
  <c r="G648" i="1"/>
  <c r="F567" i="1"/>
  <c r="F593" i="1" s="1"/>
  <c r="H20" i="1"/>
  <c r="H451" i="1"/>
  <c r="G558" i="1"/>
  <c r="G651" i="1" s="1"/>
  <c r="G460" i="1"/>
  <c r="H43" i="1"/>
  <c r="H44" i="1" s="1"/>
  <c r="H647" i="1"/>
  <c r="H648" i="1" s="1"/>
  <c r="H24" i="1"/>
  <c r="G304" i="1"/>
  <c r="F84" i="1"/>
  <c r="F243" i="26"/>
  <c r="G288" i="1"/>
  <c r="H546" i="1"/>
  <c r="H549" i="1"/>
  <c r="H57" i="26" s="1"/>
  <c r="G642" i="1"/>
  <c r="H633" i="1"/>
  <c r="H639" i="1"/>
  <c r="H140" i="26" s="1"/>
  <c r="H634" i="1"/>
  <c r="H135" i="26" s="1"/>
  <c r="H636" i="1"/>
  <c r="H137" i="26" s="1"/>
  <c r="H637" i="1"/>
  <c r="H138" i="26" s="1"/>
  <c r="H635" i="1"/>
  <c r="H136" i="26" s="1"/>
  <c r="H638" i="1"/>
  <c r="H139" i="26" s="1"/>
  <c r="H641" i="1"/>
  <c r="H640" i="1"/>
  <c r="H39" i="1"/>
  <c r="I499" i="1"/>
  <c r="G653" i="1"/>
  <c r="G606" i="1"/>
  <c r="H605" i="1"/>
  <c r="H604" i="1"/>
  <c r="H599" i="1"/>
  <c r="H103" i="26" s="1"/>
  <c r="H597" i="1"/>
  <c r="H36" i="1"/>
  <c r="H602" i="1"/>
  <c r="H106" i="26" s="1"/>
  <c r="H600" i="1"/>
  <c r="H598" i="1"/>
  <c r="H102" i="26" s="1"/>
  <c r="H603" i="1"/>
  <c r="H107" i="26" s="1"/>
  <c r="H601" i="1"/>
  <c r="H105" i="26" s="1"/>
  <c r="G655" i="1"/>
  <c r="H570" i="1"/>
  <c r="H577" i="1"/>
  <c r="H83" i="26" s="1"/>
  <c r="H573" i="1"/>
  <c r="H79" i="26" s="1"/>
  <c r="G654" i="1"/>
  <c r="G656" i="1"/>
  <c r="G659" i="1"/>
  <c r="G658" i="1"/>
  <c r="G657" i="1"/>
  <c r="G26" i="1"/>
  <c r="G618" i="1"/>
  <c r="F618" i="1"/>
  <c r="F651" i="1"/>
  <c r="H611" i="1"/>
  <c r="H114" i="26" s="1"/>
  <c r="H614" i="1"/>
  <c r="H117" i="26" s="1"/>
  <c r="H615" i="1"/>
  <c r="H118" i="26" s="1"/>
  <c r="H612" i="1"/>
  <c r="H115" i="26" s="1"/>
  <c r="H613" i="1"/>
  <c r="H116" i="26" s="1"/>
  <c r="H616" i="1"/>
  <c r="H617" i="1"/>
  <c r="H37" i="1"/>
  <c r="H609" i="1"/>
  <c r="I583" i="1"/>
  <c r="I33" i="1"/>
  <c r="I587" i="1"/>
  <c r="I585" i="1"/>
  <c r="I589" i="1"/>
  <c r="I588" i="1"/>
  <c r="H63" i="14"/>
  <c r="H48" i="14" s="1"/>
  <c r="G10" i="27"/>
  <c r="G71" i="27"/>
  <c r="I54" i="14"/>
  <c r="I68" i="27" s="1"/>
  <c r="H57" i="14"/>
  <c r="G42" i="14"/>
  <c r="G34" i="1"/>
  <c r="H548" i="1"/>
  <c r="H56" i="26" s="1"/>
  <c r="H30" i="1"/>
  <c r="I546" i="1"/>
  <c r="I31" i="1"/>
  <c r="G579" i="1"/>
  <c r="I573" i="1"/>
  <c r="H13" i="1"/>
  <c r="H32" i="1"/>
  <c r="H574" i="1"/>
  <c r="H571" i="1"/>
  <c r="H77" i="26" s="1"/>
  <c r="F74" i="1"/>
  <c r="F54" i="1" s="1"/>
  <c r="G257" i="1"/>
  <c r="G197" i="26"/>
  <c r="G555" i="1"/>
  <c r="G652" i="1"/>
  <c r="H547" i="1"/>
  <c r="I440" i="1"/>
  <c r="J440" i="1" s="1"/>
  <c r="J448" i="1" s="1"/>
  <c r="I559" i="1"/>
  <c r="I566" i="1"/>
  <c r="I565" i="1"/>
  <c r="I562" i="1"/>
  <c r="I560" i="1"/>
  <c r="I563" i="1"/>
  <c r="I564" i="1"/>
  <c r="I561" i="1"/>
  <c r="G430" i="1"/>
  <c r="I472" i="1"/>
  <c r="H78" i="26"/>
  <c r="G352" i="1"/>
  <c r="G427" i="1"/>
  <c r="G431" i="1"/>
  <c r="H81" i="26"/>
  <c r="G429" i="1"/>
  <c r="G428" i="1"/>
  <c r="I586" i="1"/>
  <c r="H95" i="26"/>
  <c r="G432" i="1"/>
  <c r="I584" i="1"/>
  <c r="H89" i="26"/>
  <c r="G426" i="1"/>
  <c r="H591" i="1"/>
  <c r="G364" i="1"/>
  <c r="I590" i="1"/>
  <c r="G372" i="11"/>
  <c r="G369" i="11"/>
  <c r="H49" i="27"/>
  <c r="H81" i="38"/>
  <c r="H74" i="14"/>
  <c r="H161" i="3"/>
  <c r="H357" i="11"/>
  <c r="H4" i="24"/>
  <c r="H5" i="38"/>
  <c r="H159" i="26"/>
  <c r="H314" i="1"/>
  <c r="H94" i="1"/>
  <c r="H5" i="27"/>
  <c r="H259" i="16"/>
  <c r="I5" i="16"/>
  <c r="H157" i="38"/>
  <c r="H5" i="11"/>
  <c r="H51" i="26"/>
  <c r="H5" i="14"/>
  <c r="H219" i="1"/>
  <c r="H366" i="16"/>
  <c r="G4" i="49" s="1"/>
  <c r="G44" i="49" s="1"/>
  <c r="H5" i="26"/>
  <c r="H228" i="16"/>
  <c r="H4" i="3"/>
  <c r="H181" i="11"/>
  <c r="H5" i="1"/>
  <c r="G22" i="16"/>
  <c r="K36" i="49" l="1"/>
  <c r="K40" i="49"/>
  <c r="K38" i="49"/>
  <c r="K34" i="49"/>
  <c r="K39" i="49"/>
  <c r="K35" i="49"/>
  <c r="K37" i="49"/>
  <c r="I17" i="49"/>
  <c r="I11" i="49"/>
  <c r="I21" i="49"/>
  <c r="I8" i="49"/>
  <c r="I47" i="49" s="1"/>
  <c r="I16" i="49"/>
  <c r="I55" i="49" s="1"/>
  <c r="I13" i="49"/>
  <c r="I52" i="49" s="1"/>
  <c r="I18" i="49"/>
  <c r="I57" i="49" s="1"/>
  <c r="I9" i="49"/>
  <c r="I48" i="49" s="1"/>
  <c r="I22" i="49"/>
  <c r="I61" i="49" s="1"/>
  <c r="I12" i="49"/>
  <c r="I51" i="49" s="1"/>
  <c r="I19" i="49"/>
  <c r="I58" i="49" s="1"/>
  <c r="I10" i="49"/>
  <c r="I49" i="49" s="1"/>
  <c r="I59" i="49"/>
  <c r="I60" i="49"/>
  <c r="I56" i="49"/>
  <c r="I53" i="49"/>
  <c r="E61" i="28"/>
  <c r="E64" i="28" s="1"/>
  <c r="F61" i="28"/>
  <c r="F64" i="28" s="1"/>
  <c r="I33" i="14"/>
  <c r="K17" i="14"/>
  <c r="J32" i="14"/>
  <c r="J62" i="14"/>
  <c r="J76" i="27" s="1"/>
  <c r="J61" i="27"/>
  <c r="I20" i="14"/>
  <c r="K11" i="14"/>
  <c r="J26" i="14"/>
  <c r="J55" i="27"/>
  <c r="J12" i="27" s="1"/>
  <c r="F155" i="16"/>
  <c r="F157" i="16" s="1"/>
  <c r="F237" i="16" s="1"/>
  <c r="K66" i="26"/>
  <c r="K55" i="26"/>
  <c r="J61" i="14"/>
  <c r="J31" i="14"/>
  <c r="K16" i="14"/>
  <c r="J60" i="27"/>
  <c r="K15" i="14"/>
  <c r="K60" i="14" s="1"/>
  <c r="K74" i="27" s="1"/>
  <c r="J30" i="14"/>
  <c r="J59" i="27"/>
  <c r="J18" i="14"/>
  <c r="J124" i="26"/>
  <c r="I27" i="14"/>
  <c r="I35" i="14" s="1"/>
  <c r="J138" i="26"/>
  <c r="J116" i="26"/>
  <c r="H55" i="49"/>
  <c r="J105" i="26"/>
  <c r="J141" i="26"/>
  <c r="I50" i="49"/>
  <c r="K102" i="26"/>
  <c r="J130" i="26"/>
  <c r="L263" i="16"/>
  <c r="J119" i="26"/>
  <c r="K88" i="26"/>
  <c r="K77" i="26"/>
  <c r="J135" i="26"/>
  <c r="G193" i="11"/>
  <c r="G368" i="11" s="1"/>
  <c r="G80" i="11"/>
  <c r="G47" i="11"/>
  <c r="G76" i="11"/>
  <c r="N514" i="1"/>
  <c r="M523" i="1"/>
  <c r="L428" i="1"/>
  <c r="M374" i="1"/>
  <c r="J584" i="1"/>
  <c r="J588" i="1"/>
  <c r="K12" i="1"/>
  <c r="J585" i="1"/>
  <c r="J33" i="1"/>
  <c r="J34" i="1" s="1"/>
  <c r="J587" i="1"/>
  <c r="J582" i="1"/>
  <c r="J583" i="1"/>
  <c r="J590" i="1"/>
  <c r="J589" i="1"/>
  <c r="J586" i="1"/>
  <c r="J13" i="1"/>
  <c r="J26" i="1" s="1"/>
  <c r="M394" i="1"/>
  <c r="L403" i="1"/>
  <c r="M372" i="1"/>
  <c r="L426" i="1"/>
  <c r="M535" i="1"/>
  <c r="N526" i="1"/>
  <c r="L427" i="1"/>
  <c r="M373" i="1"/>
  <c r="L421" i="1"/>
  <c r="M420" i="1"/>
  <c r="M502" i="1"/>
  <c r="M376" i="1"/>
  <c r="L430" i="1"/>
  <c r="J282" i="1"/>
  <c r="J284" i="1"/>
  <c r="J224" i="26" s="1"/>
  <c r="J283" i="1"/>
  <c r="J223" i="26" s="1"/>
  <c r="J286" i="1"/>
  <c r="J226" i="26" s="1"/>
  <c r="J285" i="1"/>
  <c r="J225" i="26" s="1"/>
  <c r="J287" i="1"/>
  <c r="J227" i="26" s="1"/>
  <c r="L424" i="1"/>
  <c r="M370" i="1"/>
  <c r="L379" i="1"/>
  <c r="N490" i="1"/>
  <c r="M382" i="1"/>
  <c r="L391" i="1"/>
  <c r="K601" i="1"/>
  <c r="K600" i="1"/>
  <c r="K599" i="1"/>
  <c r="K597" i="1"/>
  <c r="K603" i="1"/>
  <c r="K598" i="1"/>
  <c r="K602" i="1"/>
  <c r="K36" i="1"/>
  <c r="K605" i="1"/>
  <c r="K604" i="1"/>
  <c r="L16" i="1"/>
  <c r="M378" i="1"/>
  <c r="L432" i="1"/>
  <c r="J642" i="1"/>
  <c r="J606" i="1"/>
  <c r="K433" i="1"/>
  <c r="M375" i="1"/>
  <c r="L429" i="1"/>
  <c r="K417" i="1"/>
  <c r="J293" i="1"/>
  <c r="J233" i="26" s="1"/>
  <c r="J291" i="1"/>
  <c r="J294" i="1"/>
  <c r="J234" i="26" s="1"/>
  <c r="J292" i="1"/>
  <c r="J232" i="26" s="1"/>
  <c r="J296" i="1"/>
  <c r="J236" i="26" s="1"/>
  <c r="J295" i="1"/>
  <c r="J235" i="26" s="1"/>
  <c r="J630" i="1"/>
  <c r="J43" i="1"/>
  <c r="J44" i="1" s="1"/>
  <c r="J24" i="1"/>
  <c r="J83" i="1"/>
  <c r="K23" i="1"/>
  <c r="J647" i="1"/>
  <c r="J648" i="1" s="1"/>
  <c r="M541" i="1"/>
  <c r="N540" i="1"/>
  <c r="L18" i="1"/>
  <c r="K628" i="1"/>
  <c r="K621" i="1"/>
  <c r="K78" i="1"/>
  <c r="K627" i="1"/>
  <c r="K38" i="1"/>
  <c r="K626" i="1"/>
  <c r="K624" i="1"/>
  <c r="K625" i="1"/>
  <c r="K622" i="1"/>
  <c r="K629" i="1"/>
  <c r="K623" i="1"/>
  <c r="J614" i="1"/>
  <c r="J616" i="1"/>
  <c r="J658" i="1" s="1"/>
  <c r="J609" i="1"/>
  <c r="J617" i="1"/>
  <c r="J659" i="1" s="1"/>
  <c r="J611" i="1"/>
  <c r="J612" i="1"/>
  <c r="J613" i="1"/>
  <c r="J655" i="1" s="1"/>
  <c r="J615" i="1"/>
  <c r="K17" i="1"/>
  <c r="K20" i="1" s="1"/>
  <c r="J37" i="1"/>
  <c r="J40" i="1" s="1"/>
  <c r="L415" i="1"/>
  <c r="M406" i="1"/>
  <c r="L492" i="1"/>
  <c r="K499" i="1"/>
  <c r="K639" i="1"/>
  <c r="L19" i="1"/>
  <c r="K638" i="1"/>
  <c r="K79" i="1"/>
  <c r="K637" i="1"/>
  <c r="K39" i="1"/>
  <c r="K636" i="1"/>
  <c r="K633" i="1"/>
  <c r="K640" i="1"/>
  <c r="K634" i="1"/>
  <c r="K635" i="1"/>
  <c r="K641" i="1"/>
  <c r="M475" i="1"/>
  <c r="L484" i="1"/>
  <c r="M377" i="1"/>
  <c r="L431" i="1"/>
  <c r="M371" i="1"/>
  <c r="L425" i="1"/>
  <c r="J25" i="14"/>
  <c r="K10" i="14"/>
  <c r="J54" i="27"/>
  <c r="J55" i="14"/>
  <c r="J69" i="27" s="1"/>
  <c r="M39" i="14"/>
  <c r="J12" i="14"/>
  <c r="K9" i="14"/>
  <c r="J24" i="14"/>
  <c r="J53" i="27"/>
  <c r="J68" i="27"/>
  <c r="L458" i="1"/>
  <c r="K565" i="1"/>
  <c r="L459" i="1"/>
  <c r="K566" i="1"/>
  <c r="L456" i="1"/>
  <c r="K563" i="1"/>
  <c r="L457" i="1"/>
  <c r="K564" i="1"/>
  <c r="K562" i="1"/>
  <c r="L455" i="1"/>
  <c r="L453" i="1"/>
  <c r="K560" i="1"/>
  <c r="L454" i="1"/>
  <c r="K561" i="1"/>
  <c r="L452" i="1"/>
  <c r="K559" i="1"/>
  <c r="L442" i="1"/>
  <c r="K549" i="1"/>
  <c r="L445" i="1"/>
  <c r="K552" i="1"/>
  <c r="L447" i="1"/>
  <c r="K554" i="1"/>
  <c r="N441" i="1"/>
  <c r="M548" i="1"/>
  <c r="L443" i="1"/>
  <c r="K550" i="1"/>
  <c r="L439" i="1"/>
  <c r="K546" i="1"/>
  <c r="K440" i="1"/>
  <c r="K448" i="1" s="1"/>
  <c r="J547" i="1"/>
  <c r="J555" i="1" s="1"/>
  <c r="L444" i="1"/>
  <c r="K551" i="1"/>
  <c r="L446" i="1"/>
  <c r="K553" i="1"/>
  <c r="K576" i="1"/>
  <c r="L469" i="1"/>
  <c r="J579" i="1"/>
  <c r="L463" i="1"/>
  <c r="K472" i="1"/>
  <c r="K570" i="1"/>
  <c r="N464" i="1"/>
  <c r="M571" i="1"/>
  <c r="L471" i="1"/>
  <c r="K578" i="1"/>
  <c r="L468" i="1"/>
  <c r="K575" i="1"/>
  <c r="L465" i="1"/>
  <c r="K572" i="1"/>
  <c r="N467" i="1"/>
  <c r="M574" i="1"/>
  <c r="K577" i="1"/>
  <c r="L470" i="1"/>
  <c r="L466" i="1"/>
  <c r="K573" i="1"/>
  <c r="F8" i="24"/>
  <c r="L387" i="16"/>
  <c r="M382" i="16"/>
  <c r="M376" i="16"/>
  <c r="M372" i="16"/>
  <c r="J102" i="26"/>
  <c r="H58" i="49"/>
  <c r="J96" i="26"/>
  <c r="J13" i="26" s="1"/>
  <c r="L83" i="26"/>
  <c r="L94" i="26"/>
  <c r="L61" i="26"/>
  <c r="L72" i="26"/>
  <c r="H56" i="49"/>
  <c r="K148" i="26"/>
  <c r="K149" i="26" s="1"/>
  <c r="J107" i="26"/>
  <c r="J118" i="26"/>
  <c r="J129" i="26"/>
  <c r="J140" i="26"/>
  <c r="J104" i="26"/>
  <c r="J115" i="26"/>
  <c r="J126" i="26"/>
  <c r="J137" i="26"/>
  <c r="K191" i="26"/>
  <c r="K197" i="26" s="1"/>
  <c r="K344" i="16"/>
  <c r="L310" i="16"/>
  <c r="K82" i="26"/>
  <c r="K93" i="26"/>
  <c r="K60" i="26"/>
  <c r="K71" i="26"/>
  <c r="K294" i="16"/>
  <c r="J21" i="49" s="1"/>
  <c r="M353" i="16"/>
  <c r="K105" i="26"/>
  <c r="K116" i="26"/>
  <c r="K127" i="26"/>
  <c r="K138" i="26"/>
  <c r="J136" i="26"/>
  <c r="J103" i="26"/>
  <c r="J114" i="26"/>
  <c r="J125" i="26"/>
  <c r="J85" i="26"/>
  <c r="K285" i="16"/>
  <c r="J14" i="49" s="1"/>
  <c r="J336" i="16"/>
  <c r="K302" i="16"/>
  <c r="K57" i="26"/>
  <c r="K68" i="26"/>
  <c r="K79" i="26"/>
  <c r="K90" i="26"/>
  <c r="H59" i="49"/>
  <c r="L58" i="26"/>
  <c r="L69" i="26"/>
  <c r="L80" i="26"/>
  <c r="L91" i="26"/>
  <c r="K56" i="26"/>
  <c r="K67" i="26"/>
  <c r="K78" i="26"/>
  <c r="K89" i="26"/>
  <c r="J106" i="26"/>
  <c r="J117" i="26"/>
  <c r="J128" i="26"/>
  <c r="J139" i="26"/>
  <c r="K108" i="26"/>
  <c r="K119" i="26"/>
  <c r="K130" i="26"/>
  <c r="K141" i="26"/>
  <c r="H60" i="49"/>
  <c r="J120" i="26"/>
  <c r="J131" i="26"/>
  <c r="J142" i="26"/>
  <c r="J109" i="26"/>
  <c r="J74" i="26"/>
  <c r="L295" i="16"/>
  <c r="L297" i="16"/>
  <c r="K70" i="26"/>
  <c r="K81" i="26"/>
  <c r="K92" i="26"/>
  <c r="K59" i="26"/>
  <c r="K62" i="26"/>
  <c r="K73" i="26"/>
  <c r="K84" i="26"/>
  <c r="K95" i="26"/>
  <c r="J63" i="26"/>
  <c r="L296" i="16"/>
  <c r="I130" i="1"/>
  <c r="J5" i="16"/>
  <c r="G68" i="11"/>
  <c r="L276" i="16"/>
  <c r="M266" i="16"/>
  <c r="L264" i="16"/>
  <c r="K280" i="16"/>
  <c r="L270" i="16"/>
  <c r="L279" i="16"/>
  <c r="M269" i="16"/>
  <c r="L267" i="16"/>
  <c r="K277" i="16"/>
  <c r="K278" i="16"/>
  <c r="L268" i="16"/>
  <c r="K275" i="16"/>
  <c r="L265" i="16"/>
  <c r="G164" i="11"/>
  <c r="G163" i="11"/>
  <c r="G121" i="11"/>
  <c r="G144" i="11"/>
  <c r="G155" i="11"/>
  <c r="G89" i="11"/>
  <c r="G166" i="11"/>
  <c r="G130" i="11"/>
  <c r="G123" i="11"/>
  <c r="G73" i="11"/>
  <c r="G118" i="11"/>
  <c r="G114" i="11"/>
  <c r="G107" i="11"/>
  <c r="G41" i="11"/>
  <c r="G102" i="11"/>
  <c r="G52" i="11"/>
  <c r="G141" i="11"/>
  <c r="G74" i="11"/>
  <c r="I397" i="16"/>
  <c r="H252" i="11" s="1"/>
  <c r="G36" i="11"/>
  <c r="G20" i="11"/>
  <c r="G87" i="11"/>
  <c r="G42" i="11"/>
  <c r="G17" i="11"/>
  <c r="G91" i="11"/>
  <c r="G150" i="11"/>
  <c r="G116" i="11"/>
  <c r="G79" i="11"/>
  <c r="H61" i="49"/>
  <c r="G161" i="11"/>
  <c r="G127" i="11"/>
  <c r="G136" i="11"/>
  <c r="G104" i="11"/>
  <c r="G28" i="11"/>
  <c r="G109" i="11"/>
  <c r="G40" i="11"/>
  <c r="G61" i="11"/>
  <c r="G29" i="11"/>
  <c r="G62" i="11"/>
  <c r="G30" i="11"/>
  <c r="G67" i="11"/>
  <c r="G35" i="11"/>
  <c r="H606" i="16"/>
  <c r="G162" i="11"/>
  <c r="G151" i="11"/>
  <c r="G160" i="11"/>
  <c r="G106" i="11"/>
  <c r="G142" i="11"/>
  <c r="G147" i="11"/>
  <c r="G157" i="11"/>
  <c r="G119" i="11"/>
  <c r="G132" i="11"/>
  <c r="G100" i="11"/>
  <c r="G137" i="11"/>
  <c r="G105" i="11"/>
  <c r="G24" i="11"/>
  <c r="G57" i="11"/>
  <c r="G25" i="11"/>
  <c r="G58" i="11"/>
  <c r="G26" i="11"/>
  <c r="G63" i="11"/>
  <c r="G31" i="11"/>
  <c r="G140" i="11"/>
  <c r="G98" i="11"/>
  <c r="G143" i="11"/>
  <c r="G111" i="11"/>
  <c r="G96" i="11"/>
  <c r="G133" i="11"/>
  <c r="G85" i="11"/>
  <c r="G21" i="11"/>
  <c r="G54" i="11"/>
  <c r="G22" i="11"/>
  <c r="G59" i="11"/>
  <c r="G27" i="11"/>
  <c r="G146" i="11"/>
  <c r="G115" i="11"/>
  <c r="G152" i="11"/>
  <c r="G90" i="11"/>
  <c r="G110" i="11"/>
  <c r="G138" i="11"/>
  <c r="G149" i="11"/>
  <c r="G103" i="11"/>
  <c r="G124" i="11"/>
  <c r="G92" i="11"/>
  <c r="G129" i="11"/>
  <c r="G97" i="11"/>
  <c r="G81" i="11"/>
  <c r="G49" i="11"/>
  <c r="G82" i="11"/>
  <c r="G50" i="11"/>
  <c r="G18" i="11"/>
  <c r="G55" i="11"/>
  <c r="G23" i="11"/>
  <c r="G154" i="11"/>
  <c r="G156" i="11"/>
  <c r="G126" i="11"/>
  <c r="G153" i="11"/>
  <c r="G128" i="11"/>
  <c r="G101" i="11"/>
  <c r="G53" i="11"/>
  <c r="G134" i="11"/>
  <c r="G99" i="11"/>
  <c r="G148" i="11"/>
  <c r="G84" i="11"/>
  <c r="G94" i="11"/>
  <c r="G131" i="11"/>
  <c r="G145" i="11"/>
  <c r="G95" i="11"/>
  <c r="G120" i="11"/>
  <c r="G88" i="11"/>
  <c r="G125" i="11"/>
  <c r="G93" i="11"/>
  <c r="G77" i="11"/>
  <c r="G45" i="11"/>
  <c r="G78" i="11"/>
  <c r="G46" i="11"/>
  <c r="G83" i="11"/>
  <c r="G51" i="11"/>
  <c r="G19" i="11"/>
  <c r="G112" i="11"/>
  <c r="G72" i="11"/>
  <c r="G38" i="11"/>
  <c r="G139" i="11"/>
  <c r="G64" i="11"/>
  <c r="G60" i="11"/>
  <c r="G117" i="11"/>
  <c r="G69" i="11"/>
  <c r="G37" i="11"/>
  <c r="G70" i="11"/>
  <c r="G75" i="11"/>
  <c r="G43" i="11"/>
  <c r="H548" i="16"/>
  <c r="G107" i="38" s="1"/>
  <c r="G86" i="11"/>
  <c r="G48" i="11"/>
  <c r="G122" i="11"/>
  <c r="G158" i="11"/>
  <c r="G159" i="11"/>
  <c r="G165" i="11"/>
  <c r="G135" i="11"/>
  <c r="G32" i="11"/>
  <c r="G108" i="11"/>
  <c r="G44" i="11"/>
  <c r="G113" i="11"/>
  <c r="G56" i="11"/>
  <c r="G65" i="11"/>
  <c r="G33" i="11"/>
  <c r="G66" i="11"/>
  <c r="G34" i="11"/>
  <c r="G71" i="11"/>
  <c r="H237" i="26"/>
  <c r="G236" i="1"/>
  <c r="G176" i="26" s="1"/>
  <c r="G237" i="1"/>
  <c r="G177" i="26" s="1"/>
  <c r="G238" i="1"/>
  <c r="G178" i="26" s="1"/>
  <c r="G233" i="1"/>
  <c r="G235" i="1"/>
  <c r="G175" i="26" s="1"/>
  <c r="G234" i="1"/>
  <c r="G174" i="26" s="1"/>
  <c r="G224" i="1"/>
  <c r="G164" i="26" s="1"/>
  <c r="G225" i="1"/>
  <c r="G165" i="26" s="1"/>
  <c r="G226" i="1"/>
  <c r="G166" i="26" s="1"/>
  <c r="G227" i="1"/>
  <c r="G167" i="26" s="1"/>
  <c r="G228" i="1"/>
  <c r="G168" i="26" s="1"/>
  <c r="G229" i="1"/>
  <c r="G169" i="26" s="1"/>
  <c r="G223" i="1"/>
  <c r="G163" i="26" s="1"/>
  <c r="F182" i="26"/>
  <c r="F188" i="26" s="1"/>
  <c r="F248" i="1"/>
  <c r="G247" i="1"/>
  <c r="G187" i="26" s="1"/>
  <c r="G242" i="1"/>
  <c r="G243" i="1"/>
  <c r="G183" i="26" s="1"/>
  <c r="G244" i="1"/>
  <c r="G184" i="26" s="1"/>
  <c r="G246" i="1"/>
  <c r="G186" i="26" s="1"/>
  <c r="G245" i="1"/>
  <c r="G185" i="26" s="1"/>
  <c r="I291" i="1"/>
  <c r="I231" i="26" s="1"/>
  <c r="I292" i="1"/>
  <c r="I232" i="26" s="1"/>
  <c r="I293" i="1"/>
  <c r="I233" i="26" s="1"/>
  <c r="I294" i="1"/>
  <c r="I234" i="26" s="1"/>
  <c r="I295" i="1"/>
  <c r="I235" i="26" s="1"/>
  <c r="I296" i="1"/>
  <c r="I236" i="26" s="1"/>
  <c r="G328" i="1"/>
  <c r="I83" i="1"/>
  <c r="I303" i="1" s="1"/>
  <c r="I242" i="26" s="1"/>
  <c r="I51" i="1"/>
  <c r="J51" i="1" s="1"/>
  <c r="H71" i="1"/>
  <c r="I50" i="1"/>
  <c r="J50" i="1" s="1"/>
  <c r="H70" i="1"/>
  <c r="I71" i="28"/>
  <c r="I124" i="28"/>
  <c r="I98" i="28"/>
  <c r="G425" i="1"/>
  <c r="H52" i="49"/>
  <c r="G195" i="11"/>
  <c r="G203" i="11"/>
  <c r="G211" i="11"/>
  <c r="G219" i="11"/>
  <c r="G227" i="11"/>
  <c r="G235" i="11"/>
  <c r="G243" i="11"/>
  <c r="G251" i="11"/>
  <c r="G259" i="11"/>
  <c r="G267" i="11"/>
  <c r="G275" i="11"/>
  <c r="G283" i="11"/>
  <c r="G291" i="11"/>
  <c r="G299" i="11"/>
  <c r="G307" i="11"/>
  <c r="G315" i="11"/>
  <c r="G194" i="11"/>
  <c r="G202" i="11"/>
  <c r="G210" i="11"/>
  <c r="G218" i="11"/>
  <c r="G226" i="11"/>
  <c r="G234" i="11"/>
  <c r="G242" i="11"/>
  <c r="G250" i="11"/>
  <c r="G258" i="11"/>
  <c r="G266" i="11"/>
  <c r="G274" i="11"/>
  <c r="G282" i="11"/>
  <c r="G290" i="11"/>
  <c r="G298" i="11"/>
  <c r="G306" i="11"/>
  <c r="G314" i="11"/>
  <c r="G322" i="11"/>
  <c r="G201" i="11"/>
  <c r="G209" i="11"/>
  <c r="G217" i="11"/>
  <c r="G225" i="11"/>
  <c r="G233" i="11"/>
  <c r="G241" i="11"/>
  <c r="G249" i="11"/>
  <c r="G257" i="11"/>
  <c r="G265" i="11"/>
  <c r="G273" i="11"/>
  <c r="G281" i="11"/>
  <c r="G289" i="11"/>
  <c r="G297" i="11"/>
  <c r="G305" i="11"/>
  <c r="G313" i="11"/>
  <c r="G321" i="11"/>
  <c r="G329" i="11"/>
  <c r="G200" i="11"/>
  <c r="G208" i="11"/>
  <c r="G216" i="11"/>
  <c r="G224" i="11"/>
  <c r="G232" i="11"/>
  <c r="G240" i="11"/>
  <c r="G248" i="11"/>
  <c r="G256" i="11"/>
  <c r="G264" i="11"/>
  <c r="G272" i="11"/>
  <c r="G280" i="11"/>
  <c r="G288" i="11"/>
  <c r="G296" i="11"/>
  <c r="G304" i="11"/>
  <c r="G312" i="11"/>
  <c r="G198" i="11"/>
  <c r="G206" i="11"/>
  <c r="G214" i="11"/>
  <c r="G222" i="11"/>
  <c r="G230" i="11"/>
  <c r="G238" i="11"/>
  <c r="G246" i="11"/>
  <c r="G254" i="11"/>
  <c r="G262" i="11"/>
  <c r="G270" i="11"/>
  <c r="G278" i="11"/>
  <c r="G286" i="11"/>
  <c r="G294" i="11"/>
  <c r="G302" i="11"/>
  <c r="G310" i="11"/>
  <c r="G318" i="11"/>
  <c r="G326" i="11"/>
  <c r="G197" i="11"/>
  <c r="G205" i="11"/>
  <c r="G213" i="11"/>
  <c r="G221" i="11"/>
  <c r="G229" i="11"/>
  <c r="G237" i="11"/>
  <c r="G245" i="11"/>
  <c r="G253" i="11"/>
  <c r="G261" i="11"/>
  <c r="G269" i="11"/>
  <c r="G277" i="11"/>
  <c r="G285" i="11"/>
  <c r="G199" i="11"/>
  <c r="G231" i="11"/>
  <c r="G263" i="11"/>
  <c r="G309" i="11"/>
  <c r="G311" i="11"/>
  <c r="G324" i="11"/>
  <c r="G330" i="11"/>
  <c r="G338" i="11"/>
  <c r="G334" i="11"/>
  <c r="G204" i="11"/>
  <c r="G236" i="11"/>
  <c r="G268" i="11"/>
  <c r="G301" i="11"/>
  <c r="G303" i="11"/>
  <c r="G337" i="11"/>
  <c r="G215" i="11"/>
  <c r="G279" i="11"/>
  <c r="G316" i="11"/>
  <c r="G320" i="11"/>
  <c r="G207" i="11"/>
  <c r="G239" i="11"/>
  <c r="G271" i="11"/>
  <c r="G293" i="11"/>
  <c r="G295" i="11"/>
  <c r="G336" i="11"/>
  <c r="G247" i="11"/>
  <c r="G342" i="11"/>
  <c r="G212" i="11"/>
  <c r="G244" i="11"/>
  <c r="G276" i="11"/>
  <c r="G323" i="11"/>
  <c r="G335" i="11"/>
  <c r="G220" i="11"/>
  <c r="G252" i="11"/>
  <c r="G284" i="11"/>
  <c r="G308" i="11"/>
  <c r="G325" i="11"/>
  <c r="G328" i="11"/>
  <c r="G333" i="11"/>
  <c r="G341" i="11"/>
  <c r="G292" i="11"/>
  <c r="G331" i="11"/>
  <c r="G339" i="11"/>
  <c r="G223" i="11"/>
  <c r="G255" i="11"/>
  <c r="G287" i="11"/>
  <c r="G300" i="11"/>
  <c r="G332" i="11"/>
  <c r="G340" i="11"/>
  <c r="G196" i="11"/>
  <c r="G228" i="11"/>
  <c r="G260" i="11"/>
  <c r="G317" i="11"/>
  <c r="G319" i="11"/>
  <c r="G327" i="11"/>
  <c r="H48" i="49"/>
  <c r="H47" i="49"/>
  <c r="G53" i="49"/>
  <c r="R53" i="49" s="1"/>
  <c r="U53" i="49" s="1"/>
  <c r="H51" i="49"/>
  <c r="G49" i="49"/>
  <c r="R49" i="49" s="1"/>
  <c r="U49" i="49" s="1"/>
  <c r="R10" i="49"/>
  <c r="U10" i="49" s="1"/>
  <c r="R12" i="49"/>
  <c r="U12" i="49" s="1"/>
  <c r="G51" i="49"/>
  <c r="R51" i="49" s="1"/>
  <c r="U51" i="49" s="1"/>
  <c r="R13" i="49"/>
  <c r="U13" i="49" s="1"/>
  <c r="G52" i="49"/>
  <c r="R52" i="49" s="1"/>
  <c r="U52" i="49" s="1"/>
  <c r="H49" i="49"/>
  <c r="H50" i="49"/>
  <c r="R9" i="49"/>
  <c r="U9" i="49" s="1"/>
  <c r="G48" i="49"/>
  <c r="R48" i="49" s="1"/>
  <c r="U48" i="49" s="1"/>
  <c r="G47" i="49"/>
  <c r="R47" i="49" s="1"/>
  <c r="U47" i="49" s="1"/>
  <c r="R8" i="49"/>
  <c r="U8" i="49" s="1"/>
  <c r="G50" i="49"/>
  <c r="R50" i="49" s="1"/>
  <c r="U50" i="49" s="1"/>
  <c r="R11" i="49"/>
  <c r="U11" i="49" s="1"/>
  <c r="H53" i="49"/>
  <c r="H119" i="26"/>
  <c r="I5" i="28"/>
  <c r="I30" i="24"/>
  <c r="G141" i="26"/>
  <c r="G130" i="26"/>
  <c r="H141" i="26"/>
  <c r="G119" i="26"/>
  <c r="H82" i="26"/>
  <c r="H91" i="26"/>
  <c r="E219" i="26"/>
  <c r="E18" i="26" s="1"/>
  <c r="H71" i="26"/>
  <c r="H80" i="26"/>
  <c r="H69" i="26"/>
  <c r="H60" i="26"/>
  <c r="I18" i="16"/>
  <c r="H18" i="16"/>
  <c r="G18" i="16"/>
  <c r="E92" i="16"/>
  <c r="H142" i="38"/>
  <c r="G65" i="14"/>
  <c r="G50" i="14" s="1"/>
  <c r="G77" i="27"/>
  <c r="G79" i="27" s="1"/>
  <c r="I577" i="1"/>
  <c r="F644" i="1"/>
  <c r="E259" i="1"/>
  <c r="E299" i="1"/>
  <c r="I625" i="1"/>
  <c r="I16" i="27"/>
  <c r="E210" i="26"/>
  <c r="E17" i="26" s="1"/>
  <c r="H64" i="27"/>
  <c r="E16" i="16"/>
  <c r="I62" i="27"/>
  <c r="I17" i="27"/>
  <c r="I56" i="27"/>
  <c r="I18" i="27"/>
  <c r="I11" i="27"/>
  <c r="G46" i="1"/>
  <c r="G16" i="16"/>
  <c r="G19" i="27"/>
  <c r="G13" i="27"/>
  <c r="I570" i="1"/>
  <c r="G111" i="38"/>
  <c r="G102" i="38"/>
  <c r="G93" i="38"/>
  <c r="G21" i="38"/>
  <c r="G24" i="38"/>
  <c r="G27" i="38"/>
  <c r="G22" i="38"/>
  <c r="G361" i="11"/>
  <c r="G378" i="11" s="1"/>
  <c r="G360" i="11"/>
  <c r="H297" i="1"/>
  <c r="H16" i="16"/>
  <c r="H22" i="16"/>
  <c r="F16" i="16"/>
  <c r="I16" i="16"/>
  <c r="F660" i="1"/>
  <c r="F169" i="16"/>
  <c r="F22" i="16"/>
  <c r="F24" i="16" s="1"/>
  <c r="I624" i="1"/>
  <c r="I451" i="1"/>
  <c r="J451" i="1" s="1"/>
  <c r="H558" i="1"/>
  <c r="H460" i="1"/>
  <c r="G421" i="1"/>
  <c r="I148" i="26"/>
  <c r="I149" i="26" s="1"/>
  <c r="G403" i="1"/>
  <c r="I43" i="1"/>
  <c r="I44" i="1" s="1"/>
  <c r="I647" i="1"/>
  <c r="I648" i="1" s="1"/>
  <c r="I24" i="1"/>
  <c r="I503" i="1"/>
  <c r="H511" i="1"/>
  <c r="G424" i="1"/>
  <c r="G567" i="1"/>
  <c r="G593" i="1" s="1"/>
  <c r="H629" i="1"/>
  <c r="H38" i="1"/>
  <c r="H40" i="1" s="1"/>
  <c r="H623" i="1"/>
  <c r="H125" i="26" s="1"/>
  <c r="H621" i="1"/>
  <c r="H627" i="1"/>
  <c r="H129" i="26" s="1"/>
  <c r="H628" i="1"/>
  <c r="H130" i="26" s="1"/>
  <c r="H626" i="1"/>
  <c r="H128" i="26" s="1"/>
  <c r="H622" i="1"/>
  <c r="H124" i="26" s="1"/>
  <c r="H624" i="1"/>
  <c r="H625" i="1"/>
  <c r="H127" i="26" s="1"/>
  <c r="H304" i="1"/>
  <c r="H288" i="1"/>
  <c r="G84" i="1"/>
  <c r="G243" i="26"/>
  <c r="G371" i="11"/>
  <c r="I228" i="26"/>
  <c r="I554" i="1"/>
  <c r="I549" i="1"/>
  <c r="I641" i="1"/>
  <c r="I634" i="1"/>
  <c r="I640" i="1"/>
  <c r="I637" i="1"/>
  <c r="I633" i="1"/>
  <c r="I39" i="1"/>
  <c r="I639" i="1"/>
  <c r="I636" i="1"/>
  <c r="I635" i="1"/>
  <c r="I638" i="1"/>
  <c r="H642" i="1"/>
  <c r="G415" i="1"/>
  <c r="H34" i="1"/>
  <c r="G96" i="26"/>
  <c r="G13" i="26" s="1"/>
  <c r="H104" i="26"/>
  <c r="G644" i="1"/>
  <c r="I601" i="1"/>
  <c r="I600" i="1"/>
  <c r="I603" i="1"/>
  <c r="I602" i="1"/>
  <c r="I605" i="1"/>
  <c r="I604" i="1"/>
  <c r="I598" i="1"/>
  <c r="I599" i="1"/>
  <c r="I597" i="1"/>
  <c r="I36" i="1"/>
  <c r="G379" i="1"/>
  <c r="H606" i="1"/>
  <c r="H555" i="1"/>
  <c r="I578" i="1"/>
  <c r="I575" i="1"/>
  <c r="I572" i="1"/>
  <c r="I576" i="1"/>
  <c r="G660" i="1"/>
  <c r="H26" i="1"/>
  <c r="I613" i="1"/>
  <c r="I616" i="1"/>
  <c r="I614" i="1"/>
  <c r="I609" i="1"/>
  <c r="I615" i="1"/>
  <c r="I37" i="1"/>
  <c r="I612" i="1"/>
  <c r="I611" i="1"/>
  <c r="I617" i="1"/>
  <c r="H618" i="1"/>
  <c r="G391" i="1"/>
  <c r="I552" i="1"/>
  <c r="I550" i="1"/>
  <c r="I553" i="1"/>
  <c r="H364" i="1"/>
  <c r="G161" i="38"/>
  <c r="G168" i="38"/>
  <c r="E165" i="16"/>
  <c r="E18" i="16"/>
  <c r="E20" i="16" s="1"/>
  <c r="F165" i="16"/>
  <c r="F18" i="16"/>
  <c r="F20" i="16" s="1"/>
  <c r="I63" i="14"/>
  <c r="I48" i="14" s="1"/>
  <c r="H77" i="27"/>
  <c r="I57" i="14"/>
  <c r="I10" i="27"/>
  <c r="H10" i="27"/>
  <c r="H71" i="27"/>
  <c r="H42" i="14"/>
  <c r="H65" i="14"/>
  <c r="I551" i="1"/>
  <c r="G63" i="26"/>
  <c r="I30" i="1"/>
  <c r="I548" i="1"/>
  <c r="H579" i="1"/>
  <c r="H352" i="1"/>
  <c r="I32" i="1"/>
  <c r="I13" i="1"/>
  <c r="I571" i="1"/>
  <c r="I574" i="1"/>
  <c r="G74" i="1"/>
  <c r="G54" i="1" s="1"/>
  <c r="H197" i="26"/>
  <c r="H257" i="1"/>
  <c r="I547" i="1"/>
  <c r="I448" i="1"/>
  <c r="G85" i="26"/>
  <c r="I591" i="1"/>
  <c r="H372" i="11"/>
  <c r="H369" i="11"/>
  <c r="I51" i="26"/>
  <c r="I5" i="27"/>
  <c r="I366" i="16"/>
  <c r="H4" i="49" s="1"/>
  <c r="H44" i="49" s="1"/>
  <c r="I181" i="11"/>
  <c r="I314" i="1"/>
  <c r="I5" i="38"/>
  <c r="I5" i="11"/>
  <c r="I357" i="11"/>
  <c r="I5" i="1"/>
  <c r="I74" i="14"/>
  <c r="I49" i="27"/>
  <c r="I219" i="1"/>
  <c r="I4" i="24"/>
  <c r="I228" i="16"/>
  <c r="I161" i="3"/>
  <c r="I5" i="26"/>
  <c r="I4" i="3"/>
  <c r="I159" i="26"/>
  <c r="I259" i="16"/>
  <c r="I81" i="38"/>
  <c r="I94" i="1"/>
  <c r="I157" i="38"/>
  <c r="I5" i="14"/>
  <c r="G167" i="38"/>
  <c r="G364" i="11"/>
  <c r="G42" i="38" l="1"/>
  <c r="G35" i="38"/>
  <c r="G32" i="38"/>
  <c r="G29" i="38"/>
  <c r="G101" i="38"/>
  <c r="G110" i="38"/>
  <c r="G119" i="38"/>
  <c r="G97" i="38"/>
  <c r="G58" i="38"/>
  <c r="G39" i="38"/>
  <c r="G36" i="38"/>
  <c r="G33" i="38"/>
  <c r="G105" i="38"/>
  <c r="G114" i="38"/>
  <c r="G123" i="38"/>
  <c r="H208" i="11"/>
  <c r="G40" i="38"/>
  <c r="G124" i="38"/>
  <c r="G47" i="38"/>
  <c r="G44" i="38"/>
  <c r="G41" i="38"/>
  <c r="G113" i="38"/>
  <c r="G122" i="38"/>
  <c r="G131" i="38"/>
  <c r="G31" i="38"/>
  <c r="G43" i="38"/>
  <c r="G109" i="38"/>
  <c r="G118" i="38"/>
  <c r="H263" i="11"/>
  <c r="G135" i="38"/>
  <c r="G26" i="38"/>
  <c r="G37" i="38"/>
  <c r="G127" i="38"/>
  <c r="G30" i="38"/>
  <c r="G51" i="38"/>
  <c r="G48" i="38"/>
  <c r="G45" i="38"/>
  <c r="G117" i="38"/>
  <c r="G126" i="38"/>
  <c r="G46" i="38"/>
  <c r="G55" i="38"/>
  <c r="G52" i="38"/>
  <c r="G49" i="38"/>
  <c r="G121" i="38"/>
  <c r="G130" i="38"/>
  <c r="G139" i="38"/>
  <c r="G62" i="38"/>
  <c r="G18" i="38"/>
  <c r="G59" i="38"/>
  <c r="G56" i="38"/>
  <c r="G53" i="38"/>
  <c r="G125" i="38"/>
  <c r="G134" i="38"/>
  <c r="G140" i="38"/>
  <c r="G28" i="38"/>
  <c r="G34" i="38"/>
  <c r="G137" i="38"/>
  <c r="G115" i="38"/>
  <c r="G57" i="38"/>
  <c r="G96" i="38"/>
  <c r="G133" i="38"/>
  <c r="G141" i="38"/>
  <c r="H152" i="11"/>
  <c r="G106" i="38"/>
  <c r="G60" i="38"/>
  <c r="G100" i="38"/>
  <c r="G104" i="38"/>
  <c r="G95" i="38"/>
  <c r="G38" i="38"/>
  <c r="G66" i="38"/>
  <c r="G112" i="38"/>
  <c r="G116" i="38"/>
  <c r="G120" i="38"/>
  <c r="G64" i="38"/>
  <c r="G99" i="38"/>
  <c r="G138" i="38"/>
  <c r="H89" i="11"/>
  <c r="G65" i="38"/>
  <c r="G54" i="38"/>
  <c r="G19" i="38"/>
  <c r="G128" i="38"/>
  <c r="G132" i="38"/>
  <c r="G136" i="38"/>
  <c r="G94" i="38"/>
  <c r="G143" i="38" s="1"/>
  <c r="G145" i="38" s="1"/>
  <c r="G147" i="38" s="1"/>
  <c r="H83" i="38" s="1"/>
  <c r="H87" i="38" s="1"/>
  <c r="H90" i="38" s="1"/>
  <c r="G103" i="38"/>
  <c r="G25" i="38"/>
  <c r="G61" i="38"/>
  <c r="G129" i="38"/>
  <c r="G50" i="38"/>
  <c r="G108" i="38"/>
  <c r="G23" i="38"/>
  <c r="G20" i="38"/>
  <c r="G67" i="38" s="1"/>
  <c r="G17" i="38"/>
  <c r="G63" i="38"/>
  <c r="G98" i="38"/>
  <c r="L35" i="49"/>
  <c r="L39" i="49"/>
  <c r="L34" i="49"/>
  <c r="L38" i="49"/>
  <c r="L36" i="49"/>
  <c r="L37" i="49"/>
  <c r="L40" i="49"/>
  <c r="J12" i="49"/>
  <c r="J18" i="49"/>
  <c r="J19" i="49"/>
  <c r="J22" i="49"/>
  <c r="J61" i="49" s="1"/>
  <c r="J20" i="49"/>
  <c r="J59" i="49" s="1"/>
  <c r="J17" i="49"/>
  <c r="J56" i="49" s="1"/>
  <c r="J11" i="49"/>
  <c r="J50" i="49" s="1"/>
  <c r="J16" i="49"/>
  <c r="J55" i="49" s="1"/>
  <c r="J8" i="49"/>
  <c r="J47" i="49" s="1"/>
  <c r="J10" i="49"/>
  <c r="J49" i="49" s="1"/>
  <c r="J9" i="49"/>
  <c r="J48" i="49" s="1"/>
  <c r="J13" i="49"/>
  <c r="J52" i="49" s="1"/>
  <c r="J33" i="14"/>
  <c r="J51" i="49"/>
  <c r="J60" i="49"/>
  <c r="J57" i="49"/>
  <c r="J58" i="49"/>
  <c r="J53" i="49"/>
  <c r="J18" i="27"/>
  <c r="L11" i="14"/>
  <c r="K26" i="14"/>
  <c r="K55" i="27"/>
  <c r="K12" i="27" s="1"/>
  <c r="K32" i="14"/>
  <c r="L17" i="14"/>
  <c r="K62" i="14"/>
  <c r="K76" i="27" s="1"/>
  <c r="K61" i="27"/>
  <c r="J657" i="1"/>
  <c r="J222" i="26"/>
  <c r="J228" i="26" s="1"/>
  <c r="J653" i="1"/>
  <c r="L66" i="26"/>
  <c r="L55" i="26"/>
  <c r="H115" i="11"/>
  <c r="H335" i="11"/>
  <c r="H46" i="11"/>
  <c r="H258" i="11"/>
  <c r="H56" i="11"/>
  <c r="H268" i="11"/>
  <c r="K61" i="14"/>
  <c r="K31" i="14"/>
  <c r="L16" i="14"/>
  <c r="K60" i="27"/>
  <c r="J63" i="14"/>
  <c r="J48" i="14" s="1"/>
  <c r="J75" i="27"/>
  <c r="J16" i="27"/>
  <c r="J62" i="27"/>
  <c r="K30" i="14"/>
  <c r="L15" i="14"/>
  <c r="L60" i="14" s="1"/>
  <c r="L74" i="27" s="1"/>
  <c r="K59" i="27"/>
  <c r="K18" i="14"/>
  <c r="J27" i="14"/>
  <c r="J35" i="14" s="1"/>
  <c r="H92" i="11"/>
  <c r="H339" i="11"/>
  <c r="H144" i="11"/>
  <c r="H83" i="11"/>
  <c r="H199" i="11"/>
  <c r="H141" i="11"/>
  <c r="H158" i="11"/>
  <c r="H114" i="11"/>
  <c r="H71" i="11"/>
  <c r="H318" i="11"/>
  <c r="H216" i="11"/>
  <c r="H297" i="11"/>
  <c r="H307" i="11"/>
  <c r="H44" i="11"/>
  <c r="H239" i="11"/>
  <c r="H153" i="11"/>
  <c r="H24" i="11"/>
  <c r="H253" i="11"/>
  <c r="H85" i="11"/>
  <c r="H254" i="11"/>
  <c r="H119" i="11"/>
  <c r="H33" i="11"/>
  <c r="H73" i="11"/>
  <c r="H39" i="11"/>
  <c r="H326" i="11"/>
  <c r="H230" i="11"/>
  <c r="H233" i="11"/>
  <c r="H243" i="11"/>
  <c r="H45" i="11"/>
  <c r="H296" i="11"/>
  <c r="H244" i="11"/>
  <c r="H128" i="11"/>
  <c r="H94" i="11"/>
  <c r="H232" i="11"/>
  <c r="H267" i="11"/>
  <c r="H147" i="11"/>
  <c r="H96" i="11"/>
  <c r="H121" i="11"/>
  <c r="H78" i="11"/>
  <c r="H19" i="11"/>
  <c r="H325" i="11"/>
  <c r="H256" i="11"/>
  <c r="H327" i="11"/>
  <c r="H322" i="11"/>
  <c r="H203" i="11"/>
  <c r="H193" i="11"/>
  <c r="H368" i="11" s="1"/>
  <c r="H49" i="11"/>
  <c r="H34" i="11"/>
  <c r="H234" i="11"/>
  <c r="H126" i="11"/>
  <c r="H302" i="11"/>
  <c r="H194" i="11"/>
  <c r="H51" i="11"/>
  <c r="H257" i="11"/>
  <c r="H123" i="11"/>
  <c r="H87" i="11"/>
  <c r="H109" i="11"/>
  <c r="H66" i="11"/>
  <c r="H76" i="11"/>
  <c r="H277" i="11"/>
  <c r="H197" i="11"/>
  <c r="H303" i="11"/>
  <c r="H298" i="11"/>
  <c r="H308" i="11"/>
  <c r="J654" i="1"/>
  <c r="L417" i="1"/>
  <c r="K113" i="26"/>
  <c r="L113" i="26"/>
  <c r="L88" i="26"/>
  <c r="L77" i="26"/>
  <c r="K124" i="26"/>
  <c r="K135" i="26"/>
  <c r="M263" i="16"/>
  <c r="G377" i="11"/>
  <c r="N376" i="1"/>
  <c r="M430" i="1"/>
  <c r="K642" i="1"/>
  <c r="K285" i="1"/>
  <c r="K225" i="26" s="1"/>
  <c r="K283" i="1"/>
  <c r="K223" i="26" s="1"/>
  <c r="K282" i="1"/>
  <c r="K284" i="1"/>
  <c r="K224" i="26" s="1"/>
  <c r="K287" i="1"/>
  <c r="K227" i="26" s="1"/>
  <c r="K286" i="1"/>
  <c r="K226" i="26" s="1"/>
  <c r="J84" i="1"/>
  <c r="J303" i="1"/>
  <c r="J297" i="1"/>
  <c r="N502" i="1"/>
  <c r="J591" i="1"/>
  <c r="K590" i="1"/>
  <c r="K584" i="1"/>
  <c r="K588" i="1"/>
  <c r="L12" i="1"/>
  <c r="K582" i="1"/>
  <c r="K586" i="1"/>
  <c r="K589" i="1"/>
  <c r="K33" i="1"/>
  <c r="K34" i="1" s="1"/>
  <c r="K585" i="1"/>
  <c r="K587" i="1"/>
  <c r="K583" i="1"/>
  <c r="K13" i="1"/>
  <c r="N377" i="1"/>
  <c r="M431" i="1"/>
  <c r="M492" i="1"/>
  <c r="L499" i="1"/>
  <c r="K630" i="1"/>
  <c r="M432" i="1"/>
  <c r="N378" i="1"/>
  <c r="M391" i="1"/>
  <c r="N382" i="1"/>
  <c r="N535" i="1"/>
  <c r="O526" i="1"/>
  <c r="K83" i="1"/>
  <c r="K647" i="1"/>
  <c r="K648" i="1" s="1"/>
  <c r="L23" i="1"/>
  <c r="K43" i="1"/>
  <c r="K44" i="1" s="1"/>
  <c r="K24" i="1"/>
  <c r="N406" i="1"/>
  <c r="M415" i="1"/>
  <c r="J231" i="26"/>
  <c r="J237" i="26" s="1"/>
  <c r="N371" i="1"/>
  <c r="M425" i="1"/>
  <c r="N475" i="1"/>
  <c r="M484" i="1"/>
  <c r="L622" i="1"/>
  <c r="L621" i="1"/>
  <c r="M18" i="1"/>
  <c r="L629" i="1"/>
  <c r="L623" i="1"/>
  <c r="L78" i="1"/>
  <c r="L628" i="1"/>
  <c r="L625" i="1"/>
  <c r="L626" i="1"/>
  <c r="L38" i="1"/>
  <c r="L627" i="1"/>
  <c r="L624" i="1"/>
  <c r="L605" i="1"/>
  <c r="M16" i="1"/>
  <c r="L604" i="1"/>
  <c r="L597" i="1"/>
  <c r="L603" i="1"/>
  <c r="L602" i="1"/>
  <c r="L601" i="1"/>
  <c r="L600" i="1"/>
  <c r="L36" i="1"/>
  <c r="L599" i="1"/>
  <c r="L598" i="1"/>
  <c r="K606" i="1"/>
  <c r="O490" i="1"/>
  <c r="N420" i="1"/>
  <c r="M421" i="1"/>
  <c r="N374" i="1"/>
  <c r="M428" i="1"/>
  <c r="K293" i="1"/>
  <c r="K233" i="26" s="1"/>
  <c r="K292" i="1"/>
  <c r="K232" i="26" s="1"/>
  <c r="K295" i="1"/>
  <c r="K235" i="26" s="1"/>
  <c r="K291" i="1"/>
  <c r="K294" i="1"/>
  <c r="K234" i="26" s="1"/>
  <c r="K296" i="1"/>
  <c r="K236" i="26" s="1"/>
  <c r="O540" i="1"/>
  <c r="N541" i="1"/>
  <c r="N375" i="1"/>
  <c r="M429" i="1"/>
  <c r="J288" i="1"/>
  <c r="N372" i="1"/>
  <c r="M426" i="1"/>
  <c r="J656" i="1"/>
  <c r="I610" i="1"/>
  <c r="I618" i="1" s="1"/>
  <c r="J503" i="1"/>
  <c r="K231" i="26"/>
  <c r="M424" i="1"/>
  <c r="M379" i="1"/>
  <c r="N370" i="1"/>
  <c r="N373" i="1"/>
  <c r="M427" i="1"/>
  <c r="M19" i="1"/>
  <c r="L639" i="1"/>
  <c r="L79" i="1"/>
  <c r="L638" i="1"/>
  <c r="L39" i="1"/>
  <c r="L641" i="1"/>
  <c r="L637" i="1"/>
  <c r="L633" i="1"/>
  <c r="L635" i="1"/>
  <c r="L636" i="1"/>
  <c r="L640" i="1"/>
  <c r="L634" i="1"/>
  <c r="K611" i="1"/>
  <c r="K612" i="1"/>
  <c r="K654" i="1" s="1"/>
  <c r="L17" i="1"/>
  <c r="K609" i="1"/>
  <c r="K613" i="1"/>
  <c r="K617" i="1"/>
  <c r="K659" i="1" s="1"/>
  <c r="K615" i="1"/>
  <c r="K37" i="1"/>
  <c r="K40" i="1" s="1"/>
  <c r="K616" i="1"/>
  <c r="K614" i="1"/>
  <c r="L433" i="1"/>
  <c r="N394" i="1"/>
  <c r="M403" i="1"/>
  <c r="J46" i="1"/>
  <c r="N523" i="1"/>
  <c r="O514" i="1"/>
  <c r="G363" i="11"/>
  <c r="G380" i="11" s="1"/>
  <c r="J71" i="27"/>
  <c r="J11" i="27"/>
  <c r="J57" i="14"/>
  <c r="J65" i="14" s="1"/>
  <c r="K25" i="14"/>
  <c r="L10" i="14"/>
  <c r="K54" i="27"/>
  <c r="K55" i="14"/>
  <c r="K69" i="27" s="1"/>
  <c r="J56" i="27"/>
  <c r="J10" i="27"/>
  <c r="N39" i="14"/>
  <c r="J142" i="38"/>
  <c r="K54" i="14"/>
  <c r="K24" i="14"/>
  <c r="L9" i="14"/>
  <c r="K12" i="14"/>
  <c r="K53" i="27"/>
  <c r="J20" i="14"/>
  <c r="M452" i="1"/>
  <c r="L559" i="1"/>
  <c r="M457" i="1"/>
  <c r="L564" i="1"/>
  <c r="K451" i="1"/>
  <c r="J460" i="1"/>
  <c r="J558" i="1"/>
  <c r="M454" i="1"/>
  <c r="L561" i="1"/>
  <c r="M456" i="1"/>
  <c r="L563" i="1"/>
  <c r="M453" i="1"/>
  <c r="L560" i="1"/>
  <c r="M459" i="1"/>
  <c r="L566" i="1"/>
  <c r="M455" i="1"/>
  <c r="L562" i="1"/>
  <c r="M458" i="1"/>
  <c r="L565" i="1"/>
  <c r="M439" i="1"/>
  <c r="L546" i="1"/>
  <c r="O441" i="1"/>
  <c r="N548" i="1"/>
  <c r="M446" i="1"/>
  <c r="L553" i="1"/>
  <c r="M447" i="1"/>
  <c r="L554" i="1"/>
  <c r="M443" i="1"/>
  <c r="L550" i="1"/>
  <c r="M444" i="1"/>
  <c r="L551" i="1"/>
  <c r="M445" i="1"/>
  <c r="L552" i="1"/>
  <c r="L440" i="1"/>
  <c r="K547" i="1"/>
  <c r="M442" i="1"/>
  <c r="L549" i="1"/>
  <c r="M466" i="1"/>
  <c r="L573" i="1"/>
  <c r="M468" i="1"/>
  <c r="L575" i="1"/>
  <c r="M470" i="1"/>
  <c r="L577" i="1"/>
  <c r="K579" i="1"/>
  <c r="M471" i="1"/>
  <c r="L578" i="1"/>
  <c r="M463" i="1"/>
  <c r="L570" i="1"/>
  <c r="L472" i="1"/>
  <c r="M469" i="1"/>
  <c r="L576" i="1"/>
  <c r="O467" i="1"/>
  <c r="N574" i="1"/>
  <c r="M465" i="1"/>
  <c r="L572" i="1"/>
  <c r="O464" i="1"/>
  <c r="N571" i="1"/>
  <c r="K51" i="1"/>
  <c r="J71" i="1"/>
  <c r="J70" i="1"/>
  <c r="K50" i="1"/>
  <c r="N376" i="16"/>
  <c r="N372" i="16"/>
  <c r="N382" i="16"/>
  <c r="M387" i="16"/>
  <c r="J98" i="26"/>
  <c r="K63" i="26"/>
  <c r="K74" i="26"/>
  <c r="J132" i="26"/>
  <c r="J121" i="26"/>
  <c r="K96" i="26"/>
  <c r="K13" i="26" s="1"/>
  <c r="J143" i="26"/>
  <c r="J110" i="26"/>
  <c r="K85" i="26"/>
  <c r="K137" i="26"/>
  <c r="K104" i="26"/>
  <c r="K115" i="26"/>
  <c r="K126" i="26"/>
  <c r="M296" i="16"/>
  <c r="M295" i="16"/>
  <c r="L71" i="26"/>
  <c r="L82" i="26"/>
  <c r="L93" i="26"/>
  <c r="L60" i="26"/>
  <c r="L95" i="26"/>
  <c r="L62" i="26"/>
  <c r="L73" i="26"/>
  <c r="L84" i="26"/>
  <c r="L148" i="26"/>
  <c r="L149" i="26" s="1"/>
  <c r="K107" i="26"/>
  <c r="K118" i="26"/>
  <c r="K129" i="26"/>
  <c r="K140" i="26"/>
  <c r="K109" i="26"/>
  <c r="K120" i="26"/>
  <c r="K131" i="26"/>
  <c r="K142" i="26"/>
  <c r="L302" i="16"/>
  <c r="K336" i="16"/>
  <c r="K106" i="26"/>
  <c r="K117" i="26"/>
  <c r="K128" i="26"/>
  <c r="K139" i="26"/>
  <c r="K125" i="26"/>
  <c r="K136" i="26"/>
  <c r="K103" i="26"/>
  <c r="K114" i="26"/>
  <c r="L59" i="26"/>
  <c r="L70" i="26"/>
  <c r="L81" i="26"/>
  <c r="L92" i="26"/>
  <c r="L56" i="26"/>
  <c r="L67" i="26"/>
  <c r="L78" i="26"/>
  <c r="L89" i="26"/>
  <c r="L57" i="26"/>
  <c r="L68" i="26"/>
  <c r="L79" i="26"/>
  <c r="L90" i="26"/>
  <c r="M72" i="26"/>
  <c r="M83" i="26"/>
  <c r="M94" i="26"/>
  <c r="M61" i="26"/>
  <c r="M58" i="26"/>
  <c r="M69" i="26"/>
  <c r="M80" i="26"/>
  <c r="M91" i="26"/>
  <c r="M297" i="16"/>
  <c r="N353" i="16"/>
  <c r="L191" i="26"/>
  <c r="L197" i="26" s="1"/>
  <c r="L344" i="16"/>
  <c r="M310" i="16"/>
  <c r="L108" i="26"/>
  <c r="L119" i="26"/>
  <c r="L130" i="26"/>
  <c r="L141" i="26"/>
  <c r="L138" i="26"/>
  <c r="L105" i="26"/>
  <c r="L116" i="26"/>
  <c r="L127" i="26"/>
  <c r="L285" i="16"/>
  <c r="K11" i="49" s="1"/>
  <c r="L294" i="16"/>
  <c r="K17" i="49" s="1"/>
  <c r="H116" i="11"/>
  <c r="H37" i="11"/>
  <c r="H139" i="11"/>
  <c r="H112" i="11"/>
  <c r="H151" i="11"/>
  <c r="H164" i="11"/>
  <c r="H154" i="11"/>
  <c r="H21" i="11"/>
  <c r="H105" i="11"/>
  <c r="H29" i="11"/>
  <c r="H110" i="11"/>
  <c r="H57" i="11"/>
  <c r="H62" i="11"/>
  <c r="H30" i="11"/>
  <c r="H67" i="11"/>
  <c r="H35" i="11"/>
  <c r="H72" i="11"/>
  <c r="H40" i="11"/>
  <c r="H272" i="11"/>
  <c r="H342" i="11"/>
  <c r="H293" i="11"/>
  <c r="H321" i="11"/>
  <c r="H338" i="11"/>
  <c r="H331" i="11"/>
  <c r="H286" i="11"/>
  <c r="H222" i="11"/>
  <c r="H295" i="11"/>
  <c r="H231" i="11"/>
  <c r="H289" i="11"/>
  <c r="H225" i="11"/>
  <c r="H290" i="11"/>
  <c r="H226" i="11"/>
  <c r="H299" i="11"/>
  <c r="H235" i="11"/>
  <c r="H300" i="11"/>
  <c r="H236" i="11"/>
  <c r="H17" i="11"/>
  <c r="H163" i="11"/>
  <c r="H107" i="11"/>
  <c r="H165" i="11"/>
  <c r="H137" i="11"/>
  <c r="H111" i="11"/>
  <c r="H143" i="11"/>
  <c r="H160" i="11"/>
  <c r="H150" i="11"/>
  <c r="H133" i="11"/>
  <c r="H101" i="11"/>
  <c r="H138" i="11"/>
  <c r="H106" i="11"/>
  <c r="H41" i="11"/>
  <c r="H58" i="11"/>
  <c r="H26" i="11"/>
  <c r="H364" i="11" s="1"/>
  <c r="H63" i="11"/>
  <c r="H31" i="11"/>
  <c r="H68" i="11"/>
  <c r="H36" i="11"/>
  <c r="H341" i="11"/>
  <c r="H245" i="11"/>
  <c r="H334" i="11"/>
  <c r="H310" i="11"/>
  <c r="H301" i="11"/>
  <c r="H330" i="11"/>
  <c r="H317" i="11"/>
  <c r="H278" i="11"/>
  <c r="H214" i="11"/>
  <c r="H287" i="11"/>
  <c r="H223" i="11"/>
  <c r="H281" i="11"/>
  <c r="H217" i="11"/>
  <c r="H282" i="11"/>
  <c r="H218" i="11"/>
  <c r="H291" i="11"/>
  <c r="H227" i="11"/>
  <c r="H292" i="11"/>
  <c r="H228" i="11"/>
  <c r="H159" i="11"/>
  <c r="H100" i="11"/>
  <c r="H161" i="11"/>
  <c r="H136" i="11"/>
  <c r="H104" i="11"/>
  <c r="H131" i="11"/>
  <c r="H156" i="11"/>
  <c r="H146" i="11"/>
  <c r="H129" i="11"/>
  <c r="H97" i="11"/>
  <c r="H134" i="11"/>
  <c r="H102" i="11"/>
  <c r="H25" i="11"/>
  <c r="H54" i="11"/>
  <c r="H22" i="11"/>
  <c r="H59" i="11"/>
  <c r="H27" i="11"/>
  <c r="H64" i="11"/>
  <c r="H32" i="11"/>
  <c r="H333" i="11"/>
  <c r="H240" i="11"/>
  <c r="H320" i="11"/>
  <c r="H269" i="11"/>
  <c r="H288" i="11"/>
  <c r="H324" i="11"/>
  <c r="H285" i="11"/>
  <c r="H270" i="11"/>
  <c r="H206" i="11"/>
  <c r="H279" i="11"/>
  <c r="H215" i="11"/>
  <c r="H273" i="11"/>
  <c r="H209" i="11"/>
  <c r="H274" i="11"/>
  <c r="H210" i="11"/>
  <c r="H283" i="11"/>
  <c r="H219" i="11"/>
  <c r="H284" i="11"/>
  <c r="H220" i="11"/>
  <c r="H155" i="11"/>
  <c r="H91" i="11"/>
  <c r="H157" i="11"/>
  <c r="H135" i="11"/>
  <c r="H103" i="11"/>
  <c r="H124" i="11"/>
  <c r="H148" i="11"/>
  <c r="H142" i="11"/>
  <c r="H125" i="11"/>
  <c r="H93" i="11"/>
  <c r="H130" i="11"/>
  <c r="H98" i="11"/>
  <c r="H82" i="11"/>
  <c r="H50" i="11"/>
  <c r="H18" i="11"/>
  <c r="H55" i="11"/>
  <c r="H23" i="11"/>
  <c r="H60" i="11"/>
  <c r="H28" i="11"/>
  <c r="H328" i="11"/>
  <c r="H213" i="11"/>
  <c r="H312" i="11"/>
  <c r="H237" i="11"/>
  <c r="H261" i="11"/>
  <c r="H309" i="11"/>
  <c r="H280" i="11"/>
  <c r="H262" i="11"/>
  <c r="H198" i="11"/>
  <c r="H271" i="11"/>
  <c r="H207" i="11"/>
  <c r="H265" i="11"/>
  <c r="H201" i="11"/>
  <c r="H266" i="11"/>
  <c r="H202" i="11"/>
  <c r="H275" i="11"/>
  <c r="H211" i="11"/>
  <c r="H276" i="11"/>
  <c r="H212" i="11"/>
  <c r="I548" i="16"/>
  <c r="H141" i="38" s="1"/>
  <c r="E118" i="3"/>
  <c r="H140" i="11"/>
  <c r="H81" i="11"/>
  <c r="H149" i="11"/>
  <c r="H127" i="11"/>
  <c r="H95" i="11"/>
  <c r="H108" i="11"/>
  <c r="H166" i="11"/>
  <c r="H65" i="11"/>
  <c r="H117" i="11"/>
  <c r="H77" i="11"/>
  <c r="H122" i="11"/>
  <c r="H90" i="11"/>
  <c r="H74" i="11"/>
  <c r="H42" i="11"/>
  <c r="H79" i="11"/>
  <c r="H47" i="11"/>
  <c r="H84" i="11"/>
  <c r="H52" i="11"/>
  <c r="H20" i="11"/>
  <c r="H304" i="11"/>
  <c r="H340" i="11"/>
  <c r="H336" i="11"/>
  <c r="H205" i="11"/>
  <c r="H229" i="11"/>
  <c r="H264" i="11"/>
  <c r="H248" i="11"/>
  <c r="H246" i="11"/>
  <c r="H319" i="11"/>
  <c r="H255" i="11"/>
  <c r="H313" i="11"/>
  <c r="H249" i="11"/>
  <c r="H314" i="11"/>
  <c r="H250" i="11"/>
  <c r="H323" i="11"/>
  <c r="H259" i="11"/>
  <c r="H195" i="11"/>
  <c r="H260" i="11"/>
  <c r="H196" i="11"/>
  <c r="J81" i="38"/>
  <c r="J4" i="3"/>
  <c r="J157" i="38"/>
  <c r="J161" i="3"/>
  <c r="J5" i="11"/>
  <c r="J5" i="38"/>
  <c r="J181" i="11"/>
  <c r="J357" i="11"/>
  <c r="J71" i="28"/>
  <c r="J5" i="27"/>
  <c r="J49" i="27"/>
  <c r="J5" i="28"/>
  <c r="J259" i="16"/>
  <c r="J228" i="16"/>
  <c r="J219" i="1"/>
  <c r="J4" i="24"/>
  <c r="J94" i="1"/>
  <c r="J130" i="1"/>
  <c r="J314" i="1"/>
  <c r="J51" i="26"/>
  <c r="J5" i="1"/>
  <c r="J366" i="16"/>
  <c r="I4" i="49" s="1"/>
  <c r="I44" i="49" s="1"/>
  <c r="K5" i="16"/>
  <c r="J5" i="26"/>
  <c r="J124" i="28"/>
  <c r="J159" i="26"/>
  <c r="J30" i="24"/>
  <c r="J5" i="14"/>
  <c r="J74" i="14"/>
  <c r="J98" i="28"/>
  <c r="H204" i="11"/>
  <c r="J397" i="16"/>
  <c r="K397" i="16" s="1"/>
  <c r="I606" i="16"/>
  <c r="G51" i="3" s="1"/>
  <c r="H132" i="11"/>
  <c r="H69" i="11"/>
  <c r="H145" i="11"/>
  <c r="H120" i="11"/>
  <c r="H88" i="11"/>
  <c r="H99" i="11"/>
  <c r="H162" i="11"/>
  <c r="H53" i="11"/>
  <c r="H113" i="11"/>
  <c r="H61" i="11"/>
  <c r="H118" i="11"/>
  <c r="H86" i="11"/>
  <c r="H70" i="11"/>
  <c r="H38" i="11"/>
  <c r="H75" i="11"/>
  <c r="H43" i="11"/>
  <c r="H80" i="11"/>
  <c r="H48" i="11"/>
  <c r="H294" i="11"/>
  <c r="H332" i="11"/>
  <c r="H329" i="11"/>
  <c r="H337" i="11"/>
  <c r="H224" i="11"/>
  <c r="H200" i="11"/>
  <c r="H221" i="11"/>
  <c r="H238" i="11"/>
  <c r="H311" i="11"/>
  <c r="H247" i="11"/>
  <c r="H305" i="11"/>
  <c r="H241" i="11"/>
  <c r="H306" i="11"/>
  <c r="H242" i="11"/>
  <c r="H315" i="11"/>
  <c r="H251" i="11"/>
  <c r="H316" i="11"/>
  <c r="M268" i="16"/>
  <c r="L278" i="16"/>
  <c r="M270" i="16"/>
  <c r="L280" i="16"/>
  <c r="L277" i="16"/>
  <c r="M267" i="16"/>
  <c r="M264" i="16"/>
  <c r="N269" i="16"/>
  <c r="M279" i="16"/>
  <c r="M276" i="16"/>
  <c r="N266" i="16"/>
  <c r="M265" i="16"/>
  <c r="L275" i="16"/>
  <c r="G21" i="27"/>
  <c r="G167" i="11"/>
  <c r="G40" i="28" s="1"/>
  <c r="G89" i="28" s="1"/>
  <c r="I237" i="26"/>
  <c r="H225" i="1"/>
  <c r="H165" i="26" s="1"/>
  <c r="H226" i="1"/>
  <c r="H166" i="26" s="1"/>
  <c r="H227" i="1"/>
  <c r="H167" i="26" s="1"/>
  <c r="H228" i="1"/>
  <c r="H168" i="26" s="1"/>
  <c r="H229" i="1"/>
  <c r="H169" i="26" s="1"/>
  <c r="H223" i="1"/>
  <c r="H163" i="26" s="1"/>
  <c r="H224" i="1"/>
  <c r="H164" i="26" s="1"/>
  <c r="G182" i="26"/>
  <c r="G188" i="26" s="1"/>
  <c r="G248" i="1"/>
  <c r="G173" i="26"/>
  <c r="G179" i="26" s="1"/>
  <c r="G239" i="1"/>
  <c r="H237" i="1"/>
  <c r="H177" i="26" s="1"/>
  <c r="H238" i="1"/>
  <c r="H178" i="26" s="1"/>
  <c r="H233" i="1"/>
  <c r="H173" i="26" s="1"/>
  <c r="H234" i="1"/>
  <c r="H174" i="26" s="1"/>
  <c r="H235" i="1"/>
  <c r="H175" i="26" s="1"/>
  <c r="H236" i="1"/>
  <c r="H176" i="26" s="1"/>
  <c r="H242" i="1"/>
  <c r="H243" i="1"/>
  <c r="H183" i="26" s="1"/>
  <c r="H244" i="1"/>
  <c r="H184" i="26" s="1"/>
  <c r="H245" i="1"/>
  <c r="H185" i="26" s="1"/>
  <c r="H247" i="1"/>
  <c r="H187" i="26" s="1"/>
  <c r="H246" i="1"/>
  <c r="H186" i="26" s="1"/>
  <c r="H658" i="1"/>
  <c r="H430" i="1"/>
  <c r="I71" i="1"/>
  <c r="H659" i="1"/>
  <c r="I70" i="1"/>
  <c r="H328" i="1"/>
  <c r="I628" i="1"/>
  <c r="I658" i="1" s="1"/>
  <c r="G343" i="11"/>
  <c r="I629" i="1"/>
  <c r="I659" i="1" s="1"/>
  <c r="I621" i="1"/>
  <c r="I622" i="1"/>
  <c r="I627" i="1"/>
  <c r="I20" i="1"/>
  <c r="I26" i="1" s="1"/>
  <c r="I623" i="1"/>
  <c r="I653" i="1" s="1"/>
  <c r="I626" i="1"/>
  <c r="I38" i="1"/>
  <c r="I40" i="1" s="1"/>
  <c r="I93" i="11"/>
  <c r="E306" i="1"/>
  <c r="H142" i="26"/>
  <c r="H143" i="26" s="1"/>
  <c r="H20" i="26" s="1"/>
  <c r="H131" i="26"/>
  <c r="H120" i="26"/>
  <c r="G142" i="26"/>
  <c r="G143" i="26" s="1"/>
  <c r="G20" i="26" s="1"/>
  <c r="G131" i="26"/>
  <c r="G132" i="26" s="1"/>
  <c r="G19" i="26" s="1"/>
  <c r="G120" i="26"/>
  <c r="G121" i="26" s="1"/>
  <c r="G109" i="26"/>
  <c r="G110" i="26" s="1"/>
  <c r="E21" i="26"/>
  <c r="H432" i="1"/>
  <c r="H109" i="26"/>
  <c r="H431" i="1"/>
  <c r="H108" i="26"/>
  <c r="F239" i="1"/>
  <c r="F171" i="16"/>
  <c r="E187" i="16"/>
  <c r="E188" i="16" s="1"/>
  <c r="E190" i="16" s="1"/>
  <c r="F179" i="26"/>
  <c r="F11" i="26" s="1"/>
  <c r="H653" i="1"/>
  <c r="H655" i="1"/>
  <c r="H657" i="1"/>
  <c r="H429" i="1"/>
  <c r="E170" i="26"/>
  <c r="E10" i="26" s="1"/>
  <c r="H371" i="11"/>
  <c r="I64" i="27"/>
  <c r="E239" i="26"/>
  <c r="G162" i="38"/>
  <c r="G163" i="38" s="1"/>
  <c r="H13" i="27"/>
  <c r="H19" i="27"/>
  <c r="H57" i="38"/>
  <c r="I372" i="11"/>
  <c r="H361" i="11"/>
  <c r="H378" i="11" s="1"/>
  <c r="H360" i="11"/>
  <c r="H652" i="1"/>
  <c r="H651" i="1"/>
  <c r="H656" i="1"/>
  <c r="I297" i="1"/>
  <c r="G373" i="11"/>
  <c r="H426" i="1"/>
  <c r="H425" i="1"/>
  <c r="H428" i="1"/>
  <c r="H161" i="38"/>
  <c r="G433" i="1"/>
  <c r="H424" i="1"/>
  <c r="H567" i="1"/>
  <c r="H593" i="1" s="1"/>
  <c r="H654" i="1"/>
  <c r="I511" i="1"/>
  <c r="I460" i="1"/>
  <c r="I558" i="1"/>
  <c r="H630" i="1"/>
  <c r="H644" i="1" s="1"/>
  <c r="H421" i="1"/>
  <c r="G74" i="26"/>
  <c r="G340" i="1"/>
  <c r="G366" i="1" s="1"/>
  <c r="I288" i="1"/>
  <c r="I304" i="1"/>
  <c r="H84" i="1"/>
  <c r="H243" i="26"/>
  <c r="H46" i="1"/>
  <c r="I642" i="1"/>
  <c r="H415" i="1"/>
  <c r="G417" i="1"/>
  <c r="H379" i="1"/>
  <c r="I606" i="1"/>
  <c r="I555" i="1"/>
  <c r="I654" i="1"/>
  <c r="G190" i="11"/>
  <c r="H391" i="1"/>
  <c r="I655" i="1"/>
  <c r="G169" i="38"/>
  <c r="H168" i="38"/>
  <c r="H79" i="27"/>
  <c r="I19" i="27"/>
  <c r="I77" i="27"/>
  <c r="I65" i="14"/>
  <c r="I42" i="14"/>
  <c r="I71" i="27"/>
  <c r="H50" i="14"/>
  <c r="I13" i="27"/>
  <c r="I142" i="38"/>
  <c r="I579" i="1"/>
  <c r="H63" i="26"/>
  <c r="I34" i="1"/>
  <c r="H74" i="1"/>
  <c r="H54" i="1" s="1"/>
  <c r="I257" i="1"/>
  <c r="I197" i="26"/>
  <c r="H96" i="26"/>
  <c r="H13" i="26" s="1"/>
  <c r="H85" i="26"/>
  <c r="I364" i="1"/>
  <c r="G174" i="38"/>
  <c r="H167" i="38"/>
  <c r="G381" i="11"/>
  <c r="I369" i="11"/>
  <c r="I22" i="16"/>
  <c r="H135" i="38" l="1"/>
  <c r="I130" i="11"/>
  <c r="I98" i="11"/>
  <c r="I246" i="11"/>
  <c r="I73" i="11"/>
  <c r="I36" i="11"/>
  <c r="I319" i="11"/>
  <c r="M38" i="49"/>
  <c r="M36" i="49"/>
  <c r="M37" i="49"/>
  <c r="M39" i="49"/>
  <c r="M35" i="49"/>
  <c r="M40" i="49"/>
  <c r="M34" i="49"/>
  <c r="K10" i="49"/>
  <c r="K8" i="49"/>
  <c r="K21" i="49"/>
  <c r="K60" i="49" s="1"/>
  <c r="K14" i="49"/>
  <c r="K18" i="49"/>
  <c r="K57" i="49" s="1"/>
  <c r="K12" i="49"/>
  <c r="K51" i="49" s="1"/>
  <c r="K20" i="49"/>
  <c r="K59" i="49" s="1"/>
  <c r="K13" i="49"/>
  <c r="K52" i="49" s="1"/>
  <c r="K22" i="49"/>
  <c r="K61" i="49" s="1"/>
  <c r="K9" i="49"/>
  <c r="K48" i="49" s="1"/>
  <c r="K19" i="49"/>
  <c r="K16" i="49"/>
  <c r="K58" i="49"/>
  <c r="K55" i="49"/>
  <c r="K56" i="49"/>
  <c r="K50" i="49"/>
  <c r="K47" i="49"/>
  <c r="K18" i="27"/>
  <c r="L62" i="14"/>
  <c r="L76" i="27" s="1"/>
  <c r="M17" i="14"/>
  <c r="L32" i="14"/>
  <c r="L61" i="27"/>
  <c r="K33" i="14"/>
  <c r="L26" i="14"/>
  <c r="M11" i="14"/>
  <c r="L55" i="27"/>
  <c r="L12" i="27" s="1"/>
  <c r="K653" i="1"/>
  <c r="K656" i="1"/>
  <c r="K657" i="1"/>
  <c r="M66" i="26"/>
  <c r="M55" i="26"/>
  <c r="I267" i="11"/>
  <c r="I203" i="11"/>
  <c r="H373" i="11"/>
  <c r="L606" i="1"/>
  <c r="J64" i="27"/>
  <c r="J77" i="27"/>
  <c r="J79" i="27" s="1"/>
  <c r="J17" i="27"/>
  <c r="J19" i="27" s="1"/>
  <c r="L61" i="14"/>
  <c r="L31" i="14"/>
  <c r="M16" i="14"/>
  <c r="L60" i="27"/>
  <c r="K63" i="14"/>
  <c r="K48" i="14" s="1"/>
  <c r="K75" i="27"/>
  <c r="K16" i="27"/>
  <c r="K62" i="27"/>
  <c r="L30" i="14"/>
  <c r="M15" i="14"/>
  <c r="M60" i="14" s="1"/>
  <c r="M74" i="27" s="1"/>
  <c r="L59" i="27"/>
  <c r="L18" i="14"/>
  <c r="K27" i="14"/>
  <c r="K35" i="14" s="1"/>
  <c r="J50" i="14"/>
  <c r="I18" i="11"/>
  <c r="I276" i="11"/>
  <c r="H22" i="38"/>
  <c r="H66" i="38"/>
  <c r="J606" i="16"/>
  <c r="I150" i="11"/>
  <c r="I111" i="11"/>
  <c r="I270" i="11"/>
  <c r="I328" i="11"/>
  <c r="I212" i="11"/>
  <c r="H32" i="38"/>
  <c r="H21" i="38"/>
  <c r="I96" i="11"/>
  <c r="I255" i="11"/>
  <c r="H124" i="38"/>
  <c r="I89" i="11"/>
  <c r="I264" i="11"/>
  <c r="H377" i="11"/>
  <c r="H54" i="38"/>
  <c r="H105" i="38"/>
  <c r="I54" i="11"/>
  <c r="I63" i="11"/>
  <c r="I198" i="11"/>
  <c r="I200" i="11"/>
  <c r="I213" i="11"/>
  <c r="H17" i="38"/>
  <c r="H48" i="38"/>
  <c r="I41" i="11"/>
  <c r="H38" i="38"/>
  <c r="I325" i="11"/>
  <c r="H115" i="38"/>
  <c r="H138" i="38"/>
  <c r="I163" i="11"/>
  <c r="I31" i="11"/>
  <c r="I222" i="11"/>
  <c r="I258" i="11"/>
  <c r="I62" i="11"/>
  <c r="I277" i="11"/>
  <c r="H43" i="38"/>
  <c r="H122" i="38"/>
  <c r="I124" i="11"/>
  <c r="I68" i="11"/>
  <c r="I209" i="11"/>
  <c r="I194" i="11"/>
  <c r="K658" i="1"/>
  <c r="K655" i="1"/>
  <c r="K26" i="1"/>
  <c r="J19" i="26"/>
  <c r="L102" i="26"/>
  <c r="L135" i="26"/>
  <c r="M88" i="26"/>
  <c r="M113" i="26"/>
  <c r="L124" i="26"/>
  <c r="N263" i="16"/>
  <c r="M77" i="26"/>
  <c r="K288" i="1"/>
  <c r="G41" i="26"/>
  <c r="G83" i="16" s="1"/>
  <c r="G345" i="11"/>
  <c r="G347" i="11" s="1"/>
  <c r="H183" i="11" s="1"/>
  <c r="H187" i="11" s="1"/>
  <c r="I164" i="11"/>
  <c r="I22" i="11"/>
  <c r="I88" i="11"/>
  <c r="I146" i="11"/>
  <c r="I70" i="11"/>
  <c r="I165" i="11"/>
  <c r="I159" i="11"/>
  <c r="I116" i="11"/>
  <c r="I126" i="11"/>
  <c r="I94" i="11"/>
  <c r="I139" i="11"/>
  <c r="I107" i="11"/>
  <c r="I46" i="11"/>
  <c r="I59" i="11"/>
  <c r="I27" i="11"/>
  <c r="I64" i="11"/>
  <c r="I32" i="11"/>
  <c r="I69" i="11"/>
  <c r="I37" i="11"/>
  <c r="I238" i="11"/>
  <c r="I322" i="11"/>
  <c r="I337" i="11"/>
  <c r="I249" i="11"/>
  <c r="I329" i="11"/>
  <c r="I214" i="11"/>
  <c r="I265" i="11"/>
  <c r="I247" i="11"/>
  <c r="I320" i="11"/>
  <c r="I256" i="11"/>
  <c r="I314" i="11"/>
  <c r="I250" i="11"/>
  <c r="I323" i="11"/>
  <c r="I259" i="11"/>
  <c r="I195" i="11"/>
  <c r="I268" i="11"/>
  <c r="I204" i="11"/>
  <c r="I269" i="11"/>
  <c r="I205" i="11"/>
  <c r="I160" i="11"/>
  <c r="I74" i="11"/>
  <c r="I161" i="11"/>
  <c r="I108" i="11"/>
  <c r="I135" i="11"/>
  <c r="I55" i="11"/>
  <c r="I60" i="11"/>
  <c r="I33" i="11"/>
  <c r="I294" i="11"/>
  <c r="I318" i="11"/>
  <c r="I233" i="11"/>
  <c r="I312" i="11"/>
  <c r="I306" i="11"/>
  <c r="I251" i="11"/>
  <c r="I196" i="11"/>
  <c r="I197" i="11"/>
  <c r="I153" i="11"/>
  <c r="I38" i="11"/>
  <c r="I155" i="11"/>
  <c r="I122" i="11"/>
  <c r="I90" i="11"/>
  <c r="I103" i="11"/>
  <c r="I30" i="11"/>
  <c r="I23" i="11"/>
  <c r="I28" i="11"/>
  <c r="I65" i="11"/>
  <c r="I342" i="11"/>
  <c r="I326" i="11"/>
  <c r="I338" i="11"/>
  <c r="I336" i="11"/>
  <c r="I239" i="11"/>
  <c r="I248" i="11"/>
  <c r="I242" i="11"/>
  <c r="I315" i="11"/>
  <c r="I324" i="11"/>
  <c r="I260" i="11"/>
  <c r="I261" i="11"/>
  <c r="I193" i="11"/>
  <c r="I368" i="11" s="1"/>
  <c r="I156" i="11"/>
  <c r="I141" i="11"/>
  <c r="I42" i="11"/>
  <c r="I129" i="11"/>
  <c r="I152" i="11"/>
  <c r="I157" i="11"/>
  <c r="I151" i="11"/>
  <c r="I100" i="11"/>
  <c r="I118" i="11"/>
  <c r="I86" i="11"/>
  <c r="I131" i="11"/>
  <c r="I99" i="11"/>
  <c r="I83" i="11"/>
  <c r="I51" i="11"/>
  <c r="I19" i="11"/>
  <c r="I56" i="11"/>
  <c r="I24" i="11"/>
  <c r="I61" i="11"/>
  <c r="I29" i="11"/>
  <c r="I334" i="11"/>
  <c r="I206" i="11"/>
  <c r="I321" i="11"/>
  <c r="I330" i="11"/>
  <c r="I217" i="11"/>
  <c r="I297" i="11"/>
  <c r="I201" i="11"/>
  <c r="I231" i="11"/>
  <c r="I304" i="11"/>
  <c r="I240" i="11"/>
  <c r="I298" i="11"/>
  <c r="I234" i="11"/>
  <c r="I307" i="11"/>
  <c r="I243" i="11"/>
  <c r="I316" i="11"/>
  <c r="I252" i="11"/>
  <c r="I317" i="11"/>
  <c r="I253" i="11"/>
  <c r="J548" i="16"/>
  <c r="I138" i="38" s="1"/>
  <c r="I142" i="11"/>
  <c r="I148" i="11"/>
  <c r="I137" i="11"/>
  <c r="I166" i="11"/>
  <c r="I121" i="11"/>
  <c r="I144" i="11"/>
  <c r="I149" i="11"/>
  <c r="I147" i="11"/>
  <c r="I92" i="11"/>
  <c r="I114" i="11"/>
  <c r="I82" i="11"/>
  <c r="I127" i="11"/>
  <c r="I95" i="11"/>
  <c r="I79" i="11"/>
  <c r="I47" i="11"/>
  <c r="I84" i="11"/>
  <c r="I52" i="11"/>
  <c r="I20" i="11"/>
  <c r="I57" i="11"/>
  <c r="I25" i="11"/>
  <c r="I302" i="11"/>
  <c r="I335" i="11"/>
  <c r="I305" i="11"/>
  <c r="I313" i="11"/>
  <c r="I339" i="11"/>
  <c r="I281" i="11"/>
  <c r="I287" i="11"/>
  <c r="I223" i="11"/>
  <c r="I296" i="11"/>
  <c r="I232" i="11"/>
  <c r="I290" i="11"/>
  <c r="I226" i="11"/>
  <c r="I299" i="11"/>
  <c r="I235" i="11"/>
  <c r="I308" i="11"/>
  <c r="I244" i="11"/>
  <c r="I309" i="11"/>
  <c r="I245" i="11"/>
  <c r="I17" i="11"/>
  <c r="I138" i="11"/>
  <c r="I128" i="11"/>
  <c r="I162" i="11"/>
  <c r="I113" i="11"/>
  <c r="I133" i="11"/>
  <c r="I145" i="11"/>
  <c r="I143" i="11"/>
  <c r="I58" i="11"/>
  <c r="I110" i="11"/>
  <c r="I66" i="11"/>
  <c r="I123" i="11"/>
  <c r="I91" i="11"/>
  <c r="I75" i="11"/>
  <c r="I43" i="11"/>
  <c r="I80" i="11"/>
  <c r="I48" i="11"/>
  <c r="I85" i="11"/>
  <c r="I53" i="11"/>
  <c r="I21" i="11"/>
  <c r="I289" i="11"/>
  <c r="I310" i="11"/>
  <c r="I295" i="11"/>
  <c r="I303" i="11"/>
  <c r="I331" i="11"/>
  <c r="I340" i="11"/>
  <c r="I279" i="11"/>
  <c r="I215" i="11"/>
  <c r="I288" i="11"/>
  <c r="I224" i="11"/>
  <c r="I282" i="11"/>
  <c r="I218" i="11"/>
  <c r="I291" i="11"/>
  <c r="I227" i="11"/>
  <c r="I300" i="11"/>
  <c r="I236" i="11"/>
  <c r="I301" i="11"/>
  <c r="I237" i="11"/>
  <c r="I125" i="11"/>
  <c r="I120" i="11"/>
  <c r="I158" i="11"/>
  <c r="I105" i="11"/>
  <c r="I117" i="11"/>
  <c r="I136" i="11"/>
  <c r="I140" i="11"/>
  <c r="I26" i="11"/>
  <c r="I106" i="11"/>
  <c r="I50" i="11"/>
  <c r="I119" i="11"/>
  <c r="I87" i="11"/>
  <c r="I71" i="11"/>
  <c r="I39" i="11"/>
  <c r="I76" i="11"/>
  <c r="I44" i="11"/>
  <c r="I81" i="11"/>
  <c r="I49" i="11"/>
  <c r="I341" i="11"/>
  <c r="I257" i="11"/>
  <c r="I262" i="11"/>
  <c r="I286" i="11"/>
  <c r="I273" i="11"/>
  <c r="I311" i="11"/>
  <c r="I332" i="11"/>
  <c r="I271" i="11"/>
  <c r="I207" i="11"/>
  <c r="I280" i="11"/>
  <c r="I216" i="11"/>
  <c r="I274" i="11"/>
  <c r="I210" i="11"/>
  <c r="I283" i="11"/>
  <c r="I219" i="11"/>
  <c r="I292" i="11"/>
  <c r="I228" i="11"/>
  <c r="I293" i="11"/>
  <c r="I229" i="11"/>
  <c r="I109" i="11"/>
  <c r="I104" i="11"/>
  <c r="I154" i="11"/>
  <c r="I97" i="11"/>
  <c r="I101" i="11"/>
  <c r="I112" i="11"/>
  <c r="I132" i="11"/>
  <c r="I134" i="11"/>
  <c r="I102" i="11"/>
  <c r="I34" i="11"/>
  <c r="I115" i="11"/>
  <c r="I78" i="11"/>
  <c r="I67" i="11"/>
  <c r="I35" i="11"/>
  <c r="I72" i="11"/>
  <c r="I40" i="11"/>
  <c r="I77" i="11"/>
  <c r="I45" i="11"/>
  <c r="I333" i="11"/>
  <c r="I225" i="11"/>
  <c r="I230" i="11"/>
  <c r="I254" i="11"/>
  <c r="I241" i="11"/>
  <c r="I278" i="11"/>
  <c r="I327" i="11"/>
  <c r="I263" i="11"/>
  <c r="I199" i="11"/>
  <c r="I272" i="11"/>
  <c r="I208" i="11"/>
  <c r="I266" i="11"/>
  <c r="I202" i="11"/>
  <c r="I275" i="11"/>
  <c r="I211" i="11"/>
  <c r="I284" i="11"/>
  <c r="I220" i="11"/>
  <c r="I285" i="11"/>
  <c r="I221" i="11"/>
  <c r="J20" i="26"/>
  <c r="J42" i="14"/>
  <c r="O541" i="1"/>
  <c r="P540" i="1"/>
  <c r="P541" i="1" s="1"/>
  <c r="O374" i="1"/>
  <c r="N428" i="1"/>
  <c r="O475" i="1"/>
  <c r="N484" i="1"/>
  <c r="M634" i="1"/>
  <c r="M641" i="1"/>
  <c r="M639" i="1"/>
  <c r="M635" i="1"/>
  <c r="M633" i="1"/>
  <c r="N19" i="1"/>
  <c r="M640" i="1"/>
  <c r="M79" i="1"/>
  <c r="M39" i="1"/>
  <c r="M638" i="1"/>
  <c r="M636" i="1"/>
  <c r="M637" i="1"/>
  <c r="M605" i="1"/>
  <c r="M597" i="1"/>
  <c r="M604" i="1"/>
  <c r="M36" i="1"/>
  <c r="M603" i="1"/>
  <c r="M602" i="1"/>
  <c r="M601" i="1"/>
  <c r="N16" i="1"/>
  <c r="M600" i="1"/>
  <c r="M598" i="1"/>
  <c r="M599" i="1"/>
  <c r="L287" i="1"/>
  <c r="L227" i="26" s="1"/>
  <c r="L286" i="1"/>
  <c r="L226" i="26" s="1"/>
  <c r="L284" i="1"/>
  <c r="L224" i="26" s="1"/>
  <c r="L283" i="1"/>
  <c r="L223" i="26" s="1"/>
  <c r="L282" i="1"/>
  <c r="L285" i="1"/>
  <c r="L225" i="26" s="1"/>
  <c r="L587" i="1"/>
  <c r="L584" i="1"/>
  <c r="L588" i="1"/>
  <c r="L582" i="1"/>
  <c r="L589" i="1"/>
  <c r="L590" i="1"/>
  <c r="L586" i="1"/>
  <c r="L585" i="1"/>
  <c r="L33" i="1"/>
  <c r="L34" i="1" s="1"/>
  <c r="M12" i="1"/>
  <c r="L583" i="1"/>
  <c r="L13" i="1"/>
  <c r="K503" i="1"/>
  <c r="J511" i="1"/>
  <c r="J610" i="1"/>
  <c r="O377" i="1"/>
  <c r="N431" i="1"/>
  <c r="O523" i="1"/>
  <c r="P514" i="1"/>
  <c r="P523" i="1" s="1"/>
  <c r="L614" i="1"/>
  <c r="L656" i="1" s="1"/>
  <c r="L613" i="1"/>
  <c r="L655" i="1" s="1"/>
  <c r="L617" i="1"/>
  <c r="L659" i="1" s="1"/>
  <c r="L612" i="1"/>
  <c r="L654" i="1" s="1"/>
  <c r="L611" i="1"/>
  <c r="L653" i="1" s="1"/>
  <c r="L609" i="1"/>
  <c r="M17" i="1"/>
  <c r="M20" i="1" s="1"/>
  <c r="L37" i="1"/>
  <c r="L40" i="1" s="1"/>
  <c r="L615" i="1"/>
  <c r="L616" i="1"/>
  <c r="L642" i="1"/>
  <c r="N421" i="1"/>
  <c r="O420" i="1"/>
  <c r="L83" i="1"/>
  <c r="M23" i="1"/>
  <c r="L43" i="1"/>
  <c r="L44" i="1" s="1"/>
  <c r="L24" i="1"/>
  <c r="L647" i="1"/>
  <c r="L648" i="1" s="1"/>
  <c r="N432" i="1"/>
  <c r="O378" i="1"/>
  <c r="K591" i="1"/>
  <c r="J304" i="1"/>
  <c r="J242" i="26"/>
  <c r="J243" i="26" s="1"/>
  <c r="O373" i="1"/>
  <c r="N427" i="1"/>
  <c r="O372" i="1"/>
  <c r="N426" i="1"/>
  <c r="K297" i="1"/>
  <c r="O371" i="1"/>
  <c r="N425" i="1"/>
  <c r="L292" i="1"/>
  <c r="L232" i="26" s="1"/>
  <c r="L295" i="1"/>
  <c r="L235" i="26" s="1"/>
  <c r="L296" i="1"/>
  <c r="L236" i="26" s="1"/>
  <c r="L294" i="1"/>
  <c r="L234" i="26" s="1"/>
  <c r="L291" i="1"/>
  <c r="L293" i="1"/>
  <c r="L233" i="26" s="1"/>
  <c r="N415" i="1"/>
  <c r="O406" i="1"/>
  <c r="O502" i="1"/>
  <c r="O382" i="1"/>
  <c r="N391" i="1"/>
  <c r="I652" i="1"/>
  <c r="K222" i="26"/>
  <c r="K228" i="26" s="1"/>
  <c r="O370" i="1"/>
  <c r="N379" i="1"/>
  <c r="N424" i="1"/>
  <c r="P490" i="1"/>
  <c r="L20" i="1"/>
  <c r="N18" i="1"/>
  <c r="M621" i="1"/>
  <c r="M78" i="1"/>
  <c r="M629" i="1"/>
  <c r="M622" i="1"/>
  <c r="M38" i="1"/>
  <c r="M628" i="1"/>
  <c r="M626" i="1"/>
  <c r="M627" i="1"/>
  <c r="M625" i="1"/>
  <c r="M624" i="1"/>
  <c r="M623" i="1"/>
  <c r="K303" i="1"/>
  <c r="K84" i="1"/>
  <c r="M417" i="1"/>
  <c r="K237" i="26"/>
  <c r="L630" i="1"/>
  <c r="K46" i="1"/>
  <c r="O394" i="1"/>
  <c r="N403" i="1"/>
  <c r="M433" i="1"/>
  <c r="N429" i="1"/>
  <c r="O375" i="1"/>
  <c r="P526" i="1"/>
  <c r="P535" i="1" s="1"/>
  <c r="O535" i="1"/>
  <c r="N492" i="1"/>
  <c r="M499" i="1"/>
  <c r="O376" i="1"/>
  <c r="N430" i="1"/>
  <c r="H343" i="11"/>
  <c r="H167" i="11"/>
  <c r="H10" i="11" s="1"/>
  <c r="H14" i="11" s="1"/>
  <c r="H169" i="11" s="1"/>
  <c r="H363" i="11"/>
  <c r="H380" i="11" s="1"/>
  <c r="G365" i="11"/>
  <c r="K11" i="27"/>
  <c r="L25" i="14"/>
  <c r="M10" i="14"/>
  <c r="L54" i="27"/>
  <c r="L55" i="14"/>
  <c r="L69" i="27" s="1"/>
  <c r="J13" i="27"/>
  <c r="K20" i="14"/>
  <c r="K56" i="27"/>
  <c r="L24" i="14"/>
  <c r="M9" i="14"/>
  <c r="L12" i="14"/>
  <c r="L53" i="27"/>
  <c r="L54" i="14"/>
  <c r="O39" i="14"/>
  <c r="K142" i="38"/>
  <c r="K57" i="14"/>
  <c r="K68" i="27"/>
  <c r="K71" i="27" s="1"/>
  <c r="J567" i="1"/>
  <c r="J593" i="1" s="1"/>
  <c r="J651" i="1"/>
  <c r="N459" i="1"/>
  <c r="M566" i="1"/>
  <c r="L451" i="1"/>
  <c r="K558" i="1"/>
  <c r="K460" i="1"/>
  <c r="N454" i="1"/>
  <c r="M561" i="1"/>
  <c r="N453" i="1"/>
  <c r="M560" i="1"/>
  <c r="N457" i="1"/>
  <c r="M564" i="1"/>
  <c r="N458" i="1"/>
  <c r="M565" i="1"/>
  <c r="N456" i="1"/>
  <c r="M563" i="1"/>
  <c r="N455" i="1"/>
  <c r="M562" i="1"/>
  <c r="N452" i="1"/>
  <c r="M559" i="1"/>
  <c r="N446" i="1"/>
  <c r="M553" i="1"/>
  <c r="N444" i="1"/>
  <c r="M551" i="1"/>
  <c r="M440" i="1"/>
  <c r="L547" i="1"/>
  <c r="K555" i="1"/>
  <c r="N443" i="1"/>
  <c r="M550" i="1"/>
  <c r="P441" i="1"/>
  <c r="P548" i="1" s="1"/>
  <c r="O548" i="1"/>
  <c r="N447" i="1"/>
  <c r="M554" i="1"/>
  <c r="N442" i="1"/>
  <c r="M549" i="1"/>
  <c r="N445" i="1"/>
  <c r="M552" i="1"/>
  <c r="N439" i="1"/>
  <c r="M546" i="1"/>
  <c r="L448" i="1"/>
  <c r="P464" i="1"/>
  <c r="P571" i="1" s="1"/>
  <c r="O571" i="1"/>
  <c r="N469" i="1"/>
  <c r="M576" i="1"/>
  <c r="N466" i="1"/>
  <c r="M573" i="1"/>
  <c r="M572" i="1"/>
  <c r="N465" i="1"/>
  <c r="L579" i="1"/>
  <c r="N463" i="1"/>
  <c r="M570" i="1"/>
  <c r="M472" i="1"/>
  <c r="N470" i="1"/>
  <c r="M577" i="1"/>
  <c r="N468" i="1"/>
  <c r="M575" i="1"/>
  <c r="P467" i="1"/>
  <c r="P574" i="1" s="1"/>
  <c r="O574" i="1"/>
  <c r="N471" i="1"/>
  <c r="M578" i="1"/>
  <c r="J234" i="1"/>
  <c r="J174" i="26" s="1"/>
  <c r="J235" i="1"/>
  <c r="J175" i="26" s="1"/>
  <c r="J233" i="1"/>
  <c r="J238" i="1"/>
  <c r="J178" i="26" s="1"/>
  <c r="J237" i="1"/>
  <c r="J177" i="26" s="1"/>
  <c r="J236" i="1"/>
  <c r="J176" i="26" s="1"/>
  <c r="L51" i="1"/>
  <c r="K71" i="1"/>
  <c r="L50" i="1"/>
  <c r="K70" i="1"/>
  <c r="J223" i="1"/>
  <c r="J163" i="26" s="1"/>
  <c r="J224" i="1"/>
  <c r="J164" i="26" s="1"/>
  <c r="J225" i="1"/>
  <c r="J165" i="26" s="1"/>
  <c r="J226" i="1"/>
  <c r="J166" i="26" s="1"/>
  <c r="J228" i="1"/>
  <c r="J168" i="26" s="1"/>
  <c r="J229" i="1"/>
  <c r="J169" i="26" s="1"/>
  <c r="J227" i="1"/>
  <c r="J74" i="1"/>
  <c r="J245" i="1"/>
  <c r="J185" i="26" s="1"/>
  <c r="J244" i="1"/>
  <c r="J184" i="26" s="1"/>
  <c r="J242" i="1"/>
  <c r="J246" i="1"/>
  <c r="J186" i="26" s="1"/>
  <c r="J243" i="1"/>
  <c r="J183" i="26" s="1"/>
  <c r="J247" i="1"/>
  <c r="J187" i="26" s="1"/>
  <c r="O376" i="16"/>
  <c r="O382" i="16"/>
  <c r="O372" i="16"/>
  <c r="N387" i="16"/>
  <c r="K110" i="26"/>
  <c r="L74" i="26"/>
  <c r="L63" i="26"/>
  <c r="L96" i="26"/>
  <c r="L13" i="26" s="1"/>
  <c r="K98" i="26"/>
  <c r="K143" i="26"/>
  <c r="K132" i="26"/>
  <c r="L85" i="26"/>
  <c r="K121" i="26"/>
  <c r="J145" i="26"/>
  <c r="J151" i="26" s="1"/>
  <c r="L114" i="26"/>
  <c r="L125" i="26"/>
  <c r="L136" i="26"/>
  <c r="L103" i="26"/>
  <c r="L126" i="26"/>
  <c r="L137" i="26"/>
  <c r="L104" i="26"/>
  <c r="L115" i="26"/>
  <c r="M59" i="26"/>
  <c r="M70" i="26"/>
  <c r="M81" i="26"/>
  <c r="M92" i="26"/>
  <c r="O353" i="16"/>
  <c r="M57" i="26"/>
  <c r="M68" i="26"/>
  <c r="M79" i="26"/>
  <c r="M90" i="26"/>
  <c r="L106" i="26"/>
  <c r="L117" i="26"/>
  <c r="L128" i="26"/>
  <c r="L139" i="26"/>
  <c r="M285" i="16"/>
  <c r="L11" i="49" s="1"/>
  <c r="K49" i="49"/>
  <c r="K53" i="49"/>
  <c r="N296" i="16"/>
  <c r="M56" i="26"/>
  <c r="M67" i="26"/>
  <c r="M78" i="26"/>
  <c r="M89" i="26"/>
  <c r="N295" i="16"/>
  <c r="L109" i="26"/>
  <c r="L120" i="26"/>
  <c r="L131" i="26"/>
  <c r="L142" i="26"/>
  <c r="L336" i="16"/>
  <c r="L222" i="26" s="1"/>
  <c r="M302" i="16"/>
  <c r="M127" i="26"/>
  <c r="M138" i="26"/>
  <c r="M105" i="26"/>
  <c r="M116" i="26"/>
  <c r="M84" i="26"/>
  <c r="M95" i="26"/>
  <c r="M62" i="26"/>
  <c r="M73" i="26"/>
  <c r="M294" i="16"/>
  <c r="L21" i="49" s="1"/>
  <c r="M108" i="26"/>
  <c r="M119" i="26"/>
  <c r="M130" i="26"/>
  <c r="M141" i="26"/>
  <c r="M148" i="26"/>
  <c r="M149" i="26" s="1"/>
  <c r="L107" i="26"/>
  <c r="L118" i="26"/>
  <c r="L129" i="26"/>
  <c r="L140" i="26"/>
  <c r="M191" i="26"/>
  <c r="M197" i="26" s="1"/>
  <c r="M344" i="16"/>
  <c r="N310" i="16"/>
  <c r="N297" i="16"/>
  <c r="N58" i="26"/>
  <c r="N69" i="26"/>
  <c r="N80" i="26"/>
  <c r="N91" i="26"/>
  <c r="N61" i="26"/>
  <c r="N72" i="26"/>
  <c r="N83" i="26"/>
  <c r="N94" i="26"/>
  <c r="M60" i="26"/>
  <c r="M71" i="26"/>
  <c r="M82" i="26"/>
  <c r="M93" i="26"/>
  <c r="H29" i="38"/>
  <c r="H42" i="38"/>
  <c r="H47" i="38"/>
  <c r="H52" i="38"/>
  <c r="H109" i="38"/>
  <c r="H126" i="38"/>
  <c r="L5" i="16"/>
  <c r="K81" i="38"/>
  <c r="K4" i="3"/>
  <c r="K157" i="38"/>
  <c r="K161" i="3"/>
  <c r="K357" i="11"/>
  <c r="K5" i="11"/>
  <c r="K5" i="38"/>
  <c r="K181" i="11"/>
  <c r="K98" i="28"/>
  <c r="K228" i="16"/>
  <c r="K71" i="28"/>
  <c r="K259" i="16"/>
  <c r="K159" i="26"/>
  <c r="K219" i="1"/>
  <c r="K5" i="14"/>
  <c r="K4" i="24"/>
  <c r="K94" i="1"/>
  <c r="K130" i="1"/>
  <c r="K314" i="1"/>
  <c r="K5" i="28"/>
  <c r="K51" i="26"/>
  <c r="K5" i="1"/>
  <c r="K366" i="16"/>
  <c r="J4" i="49" s="1"/>
  <c r="J44" i="49" s="1"/>
  <c r="K49" i="27"/>
  <c r="K5" i="26"/>
  <c r="K30" i="24"/>
  <c r="K74" i="14"/>
  <c r="K124" i="28"/>
  <c r="K5" i="27"/>
  <c r="H45" i="38"/>
  <c r="H53" i="38"/>
  <c r="H46" i="38"/>
  <c r="H19" i="38"/>
  <c r="H51" i="38"/>
  <c r="H24" i="38"/>
  <c r="H56" i="38"/>
  <c r="H100" i="38"/>
  <c r="H132" i="38"/>
  <c r="H113" i="38"/>
  <c r="H98" i="38"/>
  <c r="H130" i="38"/>
  <c r="G10" i="11"/>
  <c r="G14" i="11" s="1"/>
  <c r="G169" i="11" s="1"/>
  <c r="G171" i="11" s="1"/>
  <c r="H7" i="11" s="1"/>
  <c r="H37" i="38"/>
  <c r="H131" i="38"/>
  <c r="H20" i="38"/>
  <c r="H96" i="38"/>
  <c r="H128" i="38"/>
  <c r="H94" i="38"/>
  <c r="H111" i="38"/>
  <c r="H18" i="38"/>
  <c r="H50" i="38"/>
  <c r="H23" i="38"/>
  <c r="H55" i="38"/>
  <c r="H28" i="38"/>
  <c r="H60" i="38"/>
  <c r="H104" i="38"/>
  <c r="H136" i="38"/>
  <c r="H117" i="38"/>
  <c r="H102" i="38"/>
  <c r="H134" i="38"/>
  <c r="H59" i="38"/>
  <c r="H65" i="38"/>
  <c r="H63" i="38"/>
  <c r="H121" i="38"/>
  <c r="H139" i="38"/>
  <c r="H95" i="38"/>
  <c r="H33" i="38"/>
  <c r="H26" i="38"/>
  <c r="H58" i="38"/>
  <c r="H31" i="38"/>
  <c r="H61" i="38"/>
  <c r="H36" i="38"/>
  <c r="H107" i="38"/>
  <c r="H112" i="38"/>
  <c r="H93" i="38"/>
  <c r="H125" i="38"/>
  <c r="H110" i="38"/>
  <c r="H140" i="38"/>
  <c r="L397" i="16"/>
  <c r="J194" i="11"/>
  <c r="J202" i="11"/>
  <c r="J210" i="11"/>
  <c r="J218" i="11"/>
  <c r="J226" i="11"/>
  <c r="J234" i="11"/>
  <c r="J242" i="11"/>
  <c r="J250" i="11"/>
  <c r="J193" i="11"/>
  <c r="J201" i="11"/>
  <c r="J209" i="11"/>
  <c r="J217" i="11"/>
  <c r="J225" i="11"/>
  <c r="J233" i="11"/>
  <c r="J241" i="11"/>
  <c r="J249" i="11"/>
  <c r="J200" i="11"/>
  <c r="J199" i="11"/>
  <c r="J207" i="11"/>
  <c r="J215" i="11"/>
  <c r="J223" i="11"/>
  <c r="J231" i="11"/>
  <c r="J239" i="11"/>
  <c r="J247" i="11"/>
  <c r="J198" i="11"/>
  <c r="J206" i="11"/>
  <c r="J214" i="11"/>
  <c r="J222" i="11"/>
  <c r="J230" i="11"/>
  <c r="J238" i="11"/>
  <c r="J197" i="11"/>
  <c r="J205" i="11"/>
  <c r="J213" i="11"/>
  <c r="J221" i="11"/>
  <c r="J229" i="11"/>
  <c r="J237" i="11"/>
  <c r="J196" i="11"/>
  <c r="J204" i="11"/>
  <c r="J212" i="11"/>
  <c r="J220" i="11"/>
  <c r="J228" i="11"/>
  <c r="J236" i="11"/>
  <c r="J244" i="11"/>
  <c r="J252" i="11"/>
  <c r="J232" i="11"/>
  <c r="J253" i="11"/>
  <c r="J256" i="11"/>
  <c r="J264" i="11"/>
  <c r="J272" i="11"/>
  <c r="J280" i="11"/>
  <c r="J288" i="11"/>
  <c r="J296" i="11"/>
  <c r="J304" i="11"/>
  <c r="J312" i="11"/>
  <c r="J320" i="11"/>
  <c r="J328" i="11"/>
  <c r="J219" i="11"/>
  <c r="J251" i="11"/>
  <c r="J255" i="11"/>
  <c r="J263" i="11"/>
  <c r="J271" i="11"/>
  <c r="J279" i="11"/>
  <c r="J287" i="11"/>
  <c r="J295" i="11"/>
  <c r="J303" i="11"/>
  <c r="J311" i="11"/>
  <c r="J319" i="11"/>
  <c r="J327" i="11"/>
  <c r="J211" i="11"/>
  <c r="J254" i="11"/>
  <c r="J261" i="11"/>
  <c r="J269" i="11"/>
  <c r="J277" i="11"/>
  <c r="J285" i="11"/>
  <c r="J293" i="11"/>
  <c r="J301" i="11"/>
  <c r="J309" i="11"/>
  <c r="J317" i="11"/>
  <c r="J325" i="11"/>
  <c r="J216" i="11"/>
  <c r="J245" i="11"/>
  <c r="J260" i="11"/>
  <c r="J268" i="11"/>
  <c r="J276" i="11"/>
  <c r="J284" i="11"/>
  <c r="J292" i="11"/>
  <c r="J300" i="11"/>
  <c r="J308" i="11"/>
  <c r="J316" i="11"/>
  <c r="J324" i="11"/>
  <c r="J208" i="11"/>
  <c r="J240" i="11"/>
  <c r="J266" i="11"/>
  <c r="J282" i="11"/>
  <c r="J298" i="11"/>
  <c r="J314" i="11"/>
  <c r="J336" i="11"/>
  <c r="J18" i="11"/>
  <c r="J26" i="11"/>
  <c r="J364" i="11" s="1"/>
  <c r="J381" i="11" s="1"/>
  <c r="J34" i="11"/>
  <c r="J42" i="11"/>
  <c r="J50" i="11"/>
  <c r="J262" i="11"/>
  <c r="J278" i="11"/>
  <c r="J294" i="11"/>
  <c r="J310" i="11"/>
  <c r="J326" i="11"/>
  <c r="J334" i="11"/>
  <c r="J342" i="11"/>
  <c r="J24" i="11"/>
  <c r="J195" i="11"/>
  <c r="J235" i="11"/>
  <c r="J243" i="11"/>
  <c r="J267" i="11"/>
  <c r="J283" i="11"/>
  <c r="J299" i="11"/>
  <c r="J315" i="11"/>
  <c r="J333" i="11"/>
  <c r="J341" i="11"/>
  <c r="J23" i="11"/>
  <c r="J31" i="11"/>
  <c r="J39" i="11"/>
  <c r="J224" i="11"/>
  <c r="J248" i="11"/>
  <c r="J258" i="11"/>
  <c r="J274" i="11"/>
  <c r="J290" i="11"/>
  <c r="J306" i="11"/>
  <c r="J322" i="11"/>
  <c r="J332" i="11"/>
  <c r="J340" i="11"/>
  <c r="J22" i="11"/>
  <c r="J30" i="11"/>
  <c r="J38" i="11"/>
  <c r="J46" i="11"/>
  <c r="J281" i="11"/>
  <c r="J313" i="11"/>
  <c r="J339" i="11"/>
  <c r="J36" i="11"/>
  <c r="J43" i="11"/>
  <c r="J203" i="11"/>
  <c r="J227" i="11"/>
  <c r="J286" i="11"/>
  <c r="J318" i="11"/>
  <c r="J330" i="11"/>
  <c r="J20" i="11"/>
  <c r="J29" i="11"/>
  <c r="J259" i="11"/>
  <c r="J291" i="11"/>
  <c r="J323" i="11"/>
  <c r="J337" i="11"/>
  <c r="J27" i="11"/>
  <c r="J246" i="11"/>
  <c r="J273" i="11"/>
  <c r="J305" i="11"/>
  <c r="J335" i="11"/>
  <c r="J25" i="11"/>
  <c r="J33" i="11"/>
  <c r="J61" i="11"/>
  <c r="J69" i="11"/>
  <c r="J77" i="11"/>
  <c r="J85" i="11"/>
  <c r="J93" i="11"/>
  <c r="J101" i="11"/>
  <c r="J109" i="11"/>
  <c r="J117" i="11"/>
  <c r="J270" i="11"/>
  <c r="J302" i="11"/>
  <c r="J338" i="11"/>
  <c r="J28" i="11"/>
  <c r="J275" i="11"/>
  <c r="J307" i="11"/>
  <c r="J329" i="11"/>
  <c r="J19" i="11"/>
  <c r="J41" i="11"/>
  <c r="J58" i="11"/>
  <c r="J66" i="11"/>
  <c r="J74" i="11"/>
  <c r="J82" i="11"/>
  <c r="J90" i="11"/>
  <c r="J98" i="11"/>
  <c r="J106" i="11"/>
  <c r="J114" i="11"/>
  <c r="J122" i="11"/>
  <c r="J130" i="11"/>
  <c r="J138" i="11"/>
  <c r="J146" i="11"/>
  <c r="J154" i="11"/>
  <c r="J162" i="11"/>
  <c r="J257" i="11"/>
  <c r="J289" i="11"/>
  <c r="J321" i="11"/>
  <c r="J17" i="11"/>
  <c r="J32" i="11"/>
  <c r="J49" i="11"/>
  <c r="J52" i="11"/>
  <c r="J57" i="11"/>
  <c r="J65" i="11"/>
  <c r="J73" i="11"/>
  <c r="J81" i="11"/>
  <c r="J89" i="11"/>
  <c r="J97" i="11"/>
  <c r="J21" i="11"/>
  <c r="J62" i="11"/>
  <c r="J64" i="11"/>
  <c r="J84" i="11"/>
  <c r="J95" i="11"/>
  <c r="J120" i="11"/>
  <c r="J123" i="11"/>
  <c r="J131" i="11"/>
  <c r="J135" i="11"/>
  <c r="J148" i="11"/>
  <c r="J152" i="11"/>
  <c r="J165" i="11"/>
  <c r="J297" i="11"/>
  <c r="J331" i="11"/>
  <c r="J40" i="11"/>
  <c r="J55" i="11"/>
  <c r="J75" i="11"/>
  <c r="J86" i="11"/>
  <c r="J88" i="11"/>
  <c r="J105" i="11"/>
  <c r="J108" i="11"/>
  <c r="J111" i="11"/>
  <c r="J126" i="11"/>
  <c r="J139" i="11"/>
  <c r="J143" i="11"/>
  <c r="J156" i="11"/>
  <c r="J160" i="11"/>
  <c r="J265" i="11"/>
  <c r="J35" i="11"/>
  <c r="J53" i="11"/>
  <c r="J68" i="11"/>
  <c r="J79" i="11"/>
  <c r="J99" i="11"/>
  <c r="J102" i="11"/>
  <c r="J134" i="11"/>
  <c r="J147" i="11"/>
  <c r="J151" i="11"/>
  <c r="J164" i="11"/>
  <c r="J44" i="11"/>
  <c r="J47" i="11"/>
  <c r="J59" i="11"/>
  <c r="J70" i="11"/>
  <c r="J72" i="11"/>
  <c r="J92" i="11"/>
  <c r="J113" i="11"/>
  <c r="J116" i="11"/>
  <c r="J119" i="11"/>
  <c r="J125" i="11"/>
  <c r="J129" i="11"/>
  <c r="J142" i="11"/>
  <c r="J155" i="11"/>
  <c r="J159" i="11"/>
  <c r="J37" i="11"/>
  <c r="J63" i="11"/>
  <c r="J83" i="11"/>
  <c r="J94" i="11"/>
  <c r="J96" i="11"/>
  <c r="J104" i="11"/>
  <c r="J107" i="11"/>
  <c r="J110" i="11"/>
  <c r="J133" i="11"/>
  <c r="J137" i="11"/>
  <c r="J150" i="11"/>
  <c r="J45" i="11"/>
  <c r="J48" i="11"/>
  <c r="J51" i="11"/>
  <c r="J54" i="11"/>
  <c r="J56" i="11"/>
  <c r="J76" i="11"/>
  <c r="J87" i="11"/>
  <c r="J121" i="11"/>
  <c r="J124" i="11"/>
  <c r="J128" i="11"/>
  <c r="J141" i="11"/>
  <c r="J145" i="11"/>
  <c r="J67" i="11"/>
  <c r="J78" i="11"/>
  <c r="J80" i="11"/>
  <c r="J112" i="11"/>
  <c r="J115" i="11"/>
  <c r="J118" i="11"/>
  <c r="J132" i="11"/>
  <c r="J136" i="11"/>
  <c r="J149" i="11"/>
  <c r="J153" i="11"/>
  <c r="J144" i="11"/>
  <c r="K548" i="16"/>
  <c r="J71" i="11"/>
  <c r="J100" i="11"/>
  <c r="J157" i="11"/>
  <c r="J166" i="11"/>
  <c r="J60" i="11"/>
  <c r="J103" i="11"/>
  <c r="J127" i="11"/>
  <c r="J158" i="11"/>
  <c r="J161" i="11"/>
  <c r="J91" i="11"/>
  <c r="J163" i="11"/>
  <c r="J140" i="11"/>
  <c r="H27" i="38"/>
  <c r="H162" i="38" s="1"/>
  <c r="H175" i="38" s="1"/>
  <c r="H108" i="38"/>
  <c r="H106" i="38"/>
  <c r="G118" i="3"/>
  <c r="B52" i="3" s="1"/>
  <c r="K606" i="16"/>
  <c r="F118" i="3"/>
  <c r="B51" i="3" s="1"/>
  <c r="H41" i="38"/>
  <c r="H49" i="38"/>
  <c r="H30" i="38"/>
  <c r="H64" i="38"/>
  <c r="H35" i="38"/>
  <c r="H103" i="38"/>
  <c r="H40" i="38"/>
  <c r="H123" i="38"/>
  <c r="H116" i="38"/>
  <c r="H97" i="38"/>
  <c r="H129" i="38"/>
  <c r="H114" i="38"/>
  <c r="H137" i="38"/>
  <c r="H25" i="38"/>
  <c r="H127" i="38"/>
  <c r="H34" i="38"/>
  <c r="H99" i="38"/>
  <c r="H39" i="38"/>
  <c r="H119" i="38"/>
  <c r="H44" i="38"/>
  <c r="H62" i="38"/>
  <c r="H120" i="38"/>
  <c r="H101" i="38"/>
  <c r="H133" i="38"/>
  <c r="H118" i="38"/>
  <c r="N264" i="16"/>
  <c r="N279" i="16"/>
  <c r="O269" i="16"/>
  <c r="N267" i="16"/>
  <c r="M277" i="16"/>
  <c r="O266" i="16"/>
  <c r="N276" i="16"/>
  <c r="N268" i="16"/>
  <c r="M278" i="16"/>
  <c r="N270" i="16"/>
  <c r="M280" i="16"/>
  <c r="M275" i="16"/>
  <c r="N265" i="16"/>
  <c r="I238" i="1"/>
  <c r="I178" i="26" s="1"/>
  <c r="I233" i="1"/>
  <c r="I173" i="26" s="1"/>
  <c r="I234" i="1"/>
  <c r="I174" i="26" s="1"/>
  <c r="I235" i="1"/>
  <c r="I175" i="26" s="1"/>
  <c r="I237" i="1"/>
  <c r="I177" i="26" s="1"/>
  <c r="I236" i="1"/>
  <c r="I176" i="26" s="1"/>
  <c r="I226" i="1"/>
  <c r="I166" i="26" s="1"/>
  <c r="I227" i="1"/>
  <c r="I167" i="26" s="1"/>
  <c r="I228" i="1"/>
  <c r="I168" i="26" s="1"/>
  <c r="I229" i="1"/>
  <c r="I169" i="26" s="1"/>
  <c r="I223" i="1"/>
  <c r="I163" i="26" s="1"/>
  <c r="I224" i="1"/>
  <c r="I164" i="26" s="1"/>
  <c r="I225" i="1"/>
  <c r="I165" i="26" s="1"/>
  <c r="H182" i="26"/>
  <c r="H188" i="26" s="1"/>
  <c r="H248" i="1"/>
  <c r="I242" i="1"/>
  <c r="I243" i="1"/>
  <c r="I183" i="26" s="1"/>
  <c r="I244" i="1"/>
  <c r="I184" i="26" s="1"/>
  <c r="I245" i="1"/>
  <c r="I185" i="26" s="1"/>
  <c r="I246" i="1"/>
  <c r="I186" i="26" s="1"/>
  <c r="I247" i="1"/>
  <c r="I187" i="26" s="1"/>
  <c r="I657" i="1"/>
  <c r="I656" i="1"/>
  <c r="I630" i="1"/>
  <c r="I644" i="1" s="1"/>
  <c r="I651" i="1"/>
  <c r="I430" i="1"/>
  <c r="G10" i="38"/>
  <c r="G14" i="38" s="1"/>
  <c r="G69" i="38" s="1"/>
  <c r="G71" i="38" s="1"/>
  <c r="H7" i="38" s="1"/>
  <c r="G58" i="28"/>
  <c r="G116" i="28" s="1"/>
  <c r="H126" i="26"/>
  <c r="H132" i="26" s="1"/>
  <c r="H19" i="26" s="1"/>
  <c r="H239" i="1"/>
  <c r="E14" i="26"/>
  <c r="E23" i="26" s="1"/>
  <c r="G98" i="26"/>
  <c r="G11" i="26"/>
  <c r="I432" i="1"/>
  <c r="H179" i="26"/>
  <c r="I63" i="26"/>
  <c r="F187" i="16"/>
  <c r="F188" i="16" s="1"/>
  <c r="F190" i="16" s="1"/>
  <c r="E98" i="16"/>
  <c r="E232" i="16" s="1"/>
  <c r="E199" i="26"/>
  <c r="E245" i="26" s="1"/>
  <c r="I371" i="11"/>
  <c r="G175" i="38"/>
  <c r="G176" i="38" s="1"/>
  <c r="G382" i="11"/>
  <c r="H52" i="3"/>
  <c r="G8" i="24"/>
  <c r="G56" i="28" s="1"/>
  <c r="G52" i="3"/>
  <c r="H21" i="27"/>
  <c r="I139" i="38"/>
  <c r="I136" i="38"/>
  <c r="I135" i="38"/>
  <c r="I110" i="38"/>
  <c r="I122" i="38"/>
  <c r="I134" i="38"/>
  <c r="I130" i="38"/>
  <c r="H660" i="1"/>
  <c r="I428" i="1"/>
  <c r="I361" i="11"/>
  <c r="I378" i="11" s="1"/>
  <c r="I360" i="11"/>
  <c r="I429" i="1"/>
  <c r="H121" i="26"/>
  <c r="E171" i="16"/>
  <c r="E238" i="16" s="1"/>
  <c r="E239" i="16" s="1"/>
  <c r="E240" i="16" s="1"/>
  <c r="H174" i="38"/>
  <c r="G145" i="26"/>
  <c r="H403" i="1"/>
  <c r="H417" i="1" s="1"/>
  <c r="I421" i="1"/>
  <c r="H427" i="1"/>
  <c r="H433" i="1" s="1"/>
  <c r="I567" i="1"/>
  <c r="I593" i="1" s="1"/>
  <c r="H74" i="26"/>
  <c r="H340" i="1"/>
  <c r="H366" i="1" s="1"/>
  <c r="I46" i="1"/>
  <c r="I84" i="1"/>
  <c r="I243" i="26"/>
  <c r="I96" i="26"/>
  <c r="I13" i="26" s="1"/>
  <c r="I143" i="26"/>
  <c r="I20" i="26" s="1"/>
  <c r="I415" i="1"/>
  <c r="I431" i="1"/>
  <c r="I379" i="1"/>
  <c r="H110" i="26"/>
  <c r="I391" i="1"/>
  <c r="I352" i="1"/>
  <c r="I161" i="38"/>
  <c r="I168" i="38"/>
  <c r="H381" i="11"/>
  <c r="I21" i="27"/>
  <c r="I79" i="27"/>
  <c r="I50" i="14"/>
  <c r="I74" i="1"/>
  <c r="I54" i="1" s="1"/>
  <c r="I328" i="1"/>
  <c r="I85" i="26"/>
  <c r="H169" i="38"/>
  <c r="I167" i="38"/>
  <c r="I364" i="11"/>
  <c r="F238" i="16"/>
  <c r="F180" i="16"/>
  <c r="F183" i="16"/>
  <c r="F185" i="16" s="1"/>
  <c r="F173" i="16"/>
  <c r="I17" i="38" l="1"/>
  <c r="I44" i="38"/>
  <c r="I21" i="38"/>
  <c r="I22" i="38"/>
  <c r="I23" i="38"/>
  <c r="I61" i="38"/>
  <c r="I62" i="38"/>
  <c r="I93" i="38"/>
  <c r="I137" i="38"/>
  <c r="I26" i="38"/>
  <c r="I32" i="38"/>
  <c r="I29" i="38"/>
  <c r="I30" i="38"/>
  <c r="I162" i="38" s="1"/>
  <c r="I175" i="38" s="1"/>
  <c r="I31" i="38"/>
  <c r="I95" i="38"/>
  <c r="I96" i="38"/>
  <c r="I101" i="38"/>
  <c r="I25" i="38"/>
  <c r="I48" i="38"/>
  <c r="I33" i="38"/>
  <c r="I34" i="38"/>
  <c r="I35" i="38"/>
  <c r="I99" i="38"/>
  <c r="I100" i="38"/>
  <c r="I105" i="38"/>
  <c r="I18" i="38"/>
  <c r="I141" i="38"/>
  <c r="I60" i="38"/>
  <c r="I27" i="38"/>
  <c r="I65" i="38"/>
  <c r="I66" i="38"/>
  <c r="I97" i="38"/>
  <c r="I38" i="38"/>
  <c r="I20" i="38"/>
  <c r="I41" i="38"/>
  <c r="I42" i="38"/>
  <c r="I43" i="38"/>
  <c r="I107" i="38"/>
  <c r="I108" i="38"/>
  <c r="I113" i="38"/>
  <c r="I47" i="38"/>
  <c r="I46" i="38"/>
  <c r="I52" i="38"/>
  <c r="I49" i="38"/>
  <c r="I50" i="38"/>
  <c r="I51" i="38"/>
  <c r="I115" i="38"/>
  <c r="I116" i="38"/>
  <c r="I121" i="38"/>
  <c r="I98" i="38"/>
  <c r="I45" i="38"/>
  <c r="I112" i="38"/>
  <c r="I114" i="38"/>
  <c r="I126" i="38"/>
  <c r="I36" i="38"/>
  <c r="I117" i="38"/>
  <c r="I53" i="38"/>
  <c r="I103" i="38"/>
  <c r="I111" i="38"/>
  <c r="I55" i="38"/>
  <c r="I125" i="38"/>
  <c r="I57" i="38"/>
  <c r="I123" i="38"/>
  <c r="I129" i="38"/>
  <c r="I63" i="38"/>
  <c r="I28" i="38"/>
  <c r="I19" i="38"/>
  <c r="I67" i="38" s="1"/>
  <c r="I140" i="38"/>
  <c r="I37" i="38"/>
  <c r="I39" i="38"/>
  <c r="I104" i="38"/>
  <c r="I109" i="38"/>
  <c r="I54" i="38"/>
  <c r="I119" i="38"/>
  <c r="I120" i="38"/>
  <c r="I24" i="38"/>
  <c r="I58" i="38"/>
  <c r="I59" i="38"/>
  <c r="I124" i="38"/>
  <c r="I40" i="38"/>
  <c r="I102" i="38"/>
  <c r="I143" i="38" s="1"/>
  <c r="I64" i="38"/>
  <c r="I127" i="38"/>
  <c r="I128" i="38"/>
  <c r="I133" i="38"/>
  <c r="I56" i="38"/>
  <c r="I118" i="38"/>
  <c r="I106" i="38"/>
  <c r="I94" i="38"/>
  <c r="I131" i="38"/>
  <c r="I132" i="38"/>
  <c r="N37" i="49"/>
  <c r="N35" i="49"/>
  <c r="N39" i="49"/>
  <c r="N36" i="49"/>
  <c r="N38" i="49"/>
  <c r="N34" i="49"/>
  <c r="N40" i="49"/>
  <c r="L18" i="49"/>
  <c r="L20" i="49"/>
  <c r="L59" i="49" s="1"/>
  <c r="L22" i="49"/>
  <c r="L8" i="49"/>
  <c r="L47" i="49" s="1"/>
  <c r="L19" i="49"/>
  <c r="L58" i="49" s="1"/>
  <c r="L12" i="49"/>
  <c r="L51" i="49" s="1"/>
  <c r="L16" i="49"/>
  <c r="L55" i="49" s="1"/>
  <c r="L14" i="49"/>
  <c r="L53" i="49" s="1"/>
  <c r="L17" i="49"/>
  <c r="L56" i="49" s="1"/>
  <c r="L9" i="49"/>
  <c r="L48" i="49" s="1"/>
  <c r="L13" i="49"/>
  <c r="L10" i="49"/>
  <c r="L49" i="49" s="1"/>
  <c r="L60" i="49"/>
  <c r="L57" i="49"/>
  <c r="L50" i="49"/>
  <c r="L61" i="49"/>
  <c r="H56" i="28"/>
  <c r="G114" i="28"/>
  <c r="G168" i="16" s="1"/>
  <c r="G169" i="16" s="1"/>
  <c r="L18" i="27"/>
  <c r="L33" i="14"/>
  <c r="M26" i="14"/>
  <c r="N11" i="14"/>
  <c r="M55" i="27"/>
  <c r="M12" i="27" s="1"/>
  <c r="M62" i="14"/>
  <c r="M76" i="27" s="1"/>
  <c r="M32" i="14"/>
  <c r="N17" i="14"/>
  <c r="M61" i="27"/>
  <c r="L591" i="1"/>
  <c r="N417" i="1"/>
  <c r="N66" i="26"/>
  <c r="L52" i="49"/>
  <c r="N55" i="26"/>
  <c r="L26" i="1"/>
  <c r="K64" i="27"/>
  <c r="J21" i="27"/>
  <c r="J8" i="24" s="1"/>
  <c r="K77" i="27"/>
  <c r="K79" i="27" s="1"/>
  <c r="K17" i="27"/>
  <c r="K19" i="27" s="1"/>
  <c r="M61" i="14"/>
  <c r="M31" i="14"/>
  <c r="N16" i="14"/>
  <c r="M60" i="27"/>
  <c r="K65" i="14"/>
  <c r="K50" i="14" s="1"/>
  <c r="L63" i="14"/>
  <c r="L48" i="14" s="1"/>
  <c r="L75" i="27"/>
  <c r="L16" i="27"/>
  <c r="L62" i="27"/>
  <c r="N15" i="14"/>
  <c r="N60" i="14" s="1"/>
  <c r="N74" i="27" s="1"/>
  <c r="M30" i="14"/>
  <c r="M59" i="27"/>
  <c r="M18" i="14"/>
  <c r="L27" i="14"/>
  <c r="L35" i="14" s="1"/>
  <c r="L56" i="27"/>
  <c r="I377" i="11"/>
  <c r="I363" i="11"/>
  <c r="I380" i="11" s="1"/>
  <c r="L658" i="1"/>
  <c r="L657" i="1"/>
  <c r="O263" i="16"/>
  <c r="K19" i="26"/>
  <c r="M102" i="26"/>
  <c r="M135" i="26"/>
  <c r="M124" i="26"/>
  <c r="N113" i="26"/>
  <c r="N88" i="26"/>
  <c r="N77" i="26"/>
  <c r="K20" i="26"/>
  <c r="I373" i="11"/>
  <c r="I343" i="11"/>
  <c r="I167" i="11"/>
  <c r="I40" i="28" s="1"/>
  <c r="I89" i="28" s="1"/>
  <c r="O415" i="1"/>
  <c r="P406" i="1"/>
  <c r="P415" i="1" s="1"/>
  <c r="J618" i="1"/>
  <c r="J644" i="1" s="1"/>
  <c r="J652" i="1"/>
  <c r="J660" i="1" s="1"/>
  <c r="M642" i="1"/>
  <c r="M283" i="1"/>
  <c r="M223" i="26" s="1"/>
  <c r="M282" i="1"/>
  <c r="M285" i="1"/>
  <c r="M225" i="26" s="1"/>
  <c r="M287" i="1"/>
  <c r="M227" i="26" s="1"/>
  <c r="M284" i="1"/>
  <c r="M224" i="26" s="1"/>
  <c r="M286" i="1"/>
  <c r="M226" i="26" s="1"/>
  <c r="O424" i="1"/>
  <c r="O379" i="1"/>
  <c r="P370" i="1"/>
  <c r="P371" i="1"/>
  <c r="P425" i="1" s="1"/>
  <c r="O425" i="1"/>
  <c r="M83" i="1"/>
  <c r="M43" i="1"/>
  <c r="M44" i="1" s="1"/>
  <c r="N23" i="1"/>
  <c r="M24" i="1"/>
  <c r="M647" i="1"/>
  <c r="M648" i="1" s="1"/>
  <c r="P376" i="1"/>
  <c r="P430" i="1" s="1"/>
  <c r="O430" i="1"/>
  <c r="L84" i="1"/>
  <c r="L303" i="1"/>
  <c r="L503" i="1"/>
  <c r="K511" i="1"/>
  <c r="K610" i="1"/>
  <c r="P475" i="1"/>
  <c r="P484" i="1" s="1"/>
  <c r="O484" i="1"/>
  <c r="M630" i="1"/>
  <c r="N623" i="1"/>
  <c r="O18" i="1"/>
  <c r="N622" i="1"/>
  <c r="N629" i="1"/>
  <c r="N625" i="1"/>
  <c r="N38" i="1"/>
  <c r="N78" i="1"/>
  <c r="N621" i="1"/>
  <c r="N626" i="1"/>
  <c r="N627" i="1"/>
  <c r="N628" i="1"/>
  <c r="N624" i="1"/>
  <c r="L297" i="1"/>
  <c r="P420" i="1"/>
  <c r="P421" i="1" s="1"/>
  <c r="O421" i="1"/>
  <c r="M37" i="1"/>
  <c r="M40" i="1" s="1"/>
  <c r="M617" i="1"/>
  <c r="M659" i="1" s="1"/>
  <c r="M616" i="1"/>
  <c r="M658" i="1" s="1"/>
  <c r="M609" i="1"/>
  <c r="M613" i="1"/>
  <c r="M615" i="1"/>
  <c r="M614" i="1"/>
  <c r="M612" i="1"/>
  <c r="M654" i="1" s="1"/>
  <c r="N17" i="1"/>
  <c r="N20" i="1" s="1"/>
  <c r="M611" i="1"/>
  <c r="M653" i="1" s="1"/>
  <c r="M586" i="1"/>
  <c r="M584" i="1"/>
  <c r="M585" i="1"/>
  <c r="M589" i="1"/>
  <c r="M590" i="1"/>
  <c r="M588" i="1"/>
  <c r="N12" i="1"/>
  <c r="M582" i="1"/>
  <c r="M587" i="1"/>
  <c r="M656" i="1" s="1"/>
  <c r="M33" i="1"/>
  <c r="M34" i="1" s="1"/>
  <c r="M583" i="1"/>
  <c r="M13" i="1"/>
  <c r="M26" i="1" s="1"/>
  <c r="O492" i="1"/>
  <c r="N499" i="1"/>
  <c r="P394" i="1"/>
  <c r="P403" i="1" s="1"/>
  <c r="O403" i="1"/>
  <c r="P372" i="1"/>
  <c r="P426" i="1" s="1"/>
  <c r="O426" i="1"/>
  <c r="P378" i="1"/>
  <c r="P432" i="1" s="1"/>
  <c r="O432" i="1"/>
  <c r="L46" i="1"/>
  <c r="M291" i="1"/>
  <c r="M231" i="26" s="1"/>
  <c r="M293" i="1"/>
  <c r="M233" i="26" s="1"/>
  <c r="M296" i="1"/>
  <c r="M236" i="26" s="1"/>
  <c r="M294" i="1"/>
  <c r="M234" i="26" s="1"/>
  <c r="M295" i="1"/>
  <c r="M235" i="26" s="1"/>
  <c r="M292" i="1"/>
  <c r="M232" i="26" s="1"/>
  <c r="P374" i="1"/>
  <c r="P428" i="1" s="1"/>
  <c r="O428" i="1"/>
  <c r="K304" i="1"/>
  <c r="K242" i="26"/>
  <c r="K243" i="26" s="1"/>
  <c r="P502" i="1"/>
  <c r="P373" i="1"/>
  <c r="P427" i="1" s="1"/>
  <c r="O427" i="1"/>
  <c r="P377" i="1"/>
  <c r="P431" i="1" s="1"/>
  <c r="O431" i="1"/>
  <c r="L288" i="1"/>
  <c r="N598" i="1"/>
  <c r="N597" i="1"/>
  <c r="N605" i="1"/>
  <c r="N602" i="1"/>
  <c r="N36" i="1"/>
  <c r="N604" i="1"/>
  <c r="N603" i="1"/>
  <c r="O16" i="1"/>
  <c r="N601" i="1"/>
  <c r="N599" i="1"/>
  <c r="N600" i="1"/>
  <c r="M606" i="1"/>
  <c r="L228" i="26"/>
  <c r="O391" i="1"/>
  <c r="P382" i="1"/>
  <c r="P391" i="1" s="1"/>
  <c r="P375" i="1"/>
  <c r="P429" i="1" s="1"/>
  <c r="O429" i="1"/>
  <c r="N433" i="1"/>
  <c r="N39" i="1"/>
  <c r="N639" i="1"/>
  <c r="N79" i="1"/>
  <c r="N637" i="1"/>
  <c r="N638" i="1"/>
  <c r="N636" i="1"/>
  <c r="N635" i="1"/>
  <c r="N634" i="1"/>
  <c r="N633" i="1"/>
  <c r="N640" i="1"/>
  <c r="O19" i="1"/>
  <c r="N641" i="1"/>
  <c r="L231" i="26"/>
  <c r="L237" i="26" s="1"/>
  <c r="H67" i="38"/>
  <c r="H58" i="28" s="1"/>
  <c r="H116" i="28" s="1"/>
  <c r="H143" i="38"/>
  <c r="H145" i="38" s="1"/>
  <c r="H147" i="38" s="1"/>
  <c r="I83" i="38" s="1"/>
  <c r="I87" i="38" s="1"/>
  <c r="I90" i="38" s="1"/>
  <c r="H171" i="11"/>
  <c r="I7" i="11" s="1"/>
  <c r="H40" i="28"/>
  <c r="H89" i="28" s="1"/>
  <c r="H365" i="11"/>
  <c r="L11" i="27"/>
  <c r="M25" i="14"/>
  <c r="N10" i="14"/>
  <c r="M54" i="27"/>
  <c r="M55" i="14"/>
  <c r="M69" i="27" s="1"/>
  <c r="K42" i="14"/>
  <c r="K10" i="27"/>
  <c r="K13" i="27" s="1"/>
  <c r="P39" i="14"/>
  <c r="L57" i="14"/>
  <c r="L68" i="27"/>
  <c r="L142" i="38"/>
  <c r="L20" i="14"/>
  <c r="M12" i="14"/>
  <c r="N9" i="14"/>
  <c r="M24" i="14"/>
  <c r="M53" i="27"/>
  <c r="M54" i="14"/>
  <c r="O458" i="1"/>
  <c r="N565" i="1"/>
  <c r="M451" i="1"/>
  <c r="L460" i="1"/>
  <c r="L558" i="1"/>
  <c r="O452" i="1"/>
  <c r="N559" i="1"/>
  <c r="O457" i="1"/>
  <c r="N564" i="1"/>
  <c r="K567" i="1"/>
  <c r="K593" i="1" s="1"/>
  <c r="K651" i="1"/>
  <c r="O455" i="1"/>
  <c r="N562" i="1"/>
  <c r="O453" i="1"/>
  <c r="N560" i="1"/>
  <c r="O459" i="1"/>
  <c r="N566" i="1"/>
  <c r="O456" i="1"/>
  <c r="N563" i="1"/>
  <c r="O454" i="1"/>
  <c r="N561" i="1"/>
  <c r="O443" i="1"/>
  <c r="N550" i="1"/>
  <c r="N440" i="1"/>
  <c r="N448" i="1" s="1"/>
  <c r="M547" i="1"/>
  <c r="M555" i="1" s="1"/>
  <c r="O442" i="1"/>
  <c r="N549" i="1"/>
  <c r="O445" i="1"/>
  <c r="N552" i="1"/>
  <c r="L555" i="1"/>
  <c r="O444" i="1"/>
  <c r="N551" i="1"/>
  <c r="M448" i="1"/>
  <c r="O447" i="1"/>
  <c r="N554" i="1"/>
  <c r="O446" i="1"/>
  <c r="N553" i="1"/>
  <c r="O439" i="1"/>
  <c r="N546" i="1"/>
  <c r="O470" i="1"/>
  <c r="N577" i="1"/>
  <c r="O466" i="1"/>
  <c r="N573" i="1"/>
  <c r="O469" i="1"/>
  <c r="N576" i="1"/>
  <c r="O471" i="1"/>
  <c r="N578" i="1"/>
  <c r="M579" i="1"/>
  <c r="O468" i="1"/>
  <c r="N575" i="1"/>
  <c r="O463" i="1"/>
  <c r="N570" i="1"/>
  <c r="N472" i="1"/>
  <c r="N572" i="1"/>
  <c r="O465" i="1"/>
  <c r="K234" i="1"/>
  <c r="K174" i="26" s="1"/>
  <c r="K236" i="1"/>
  <c r="K176" i="26" s="1"/>
  <c r="K233" i="1"/>
  <c r="K238" i="1"/>
  <c r="K178" i="26" s="1"/>
  <c r="K237" i="1"/>
  <c r="K177" i="26" s="1"/>
  <c r="K235" i="1"/>
  <c r="K175" i="26" s="1"/>
  <c r="M51" i="1"/>
  <c r="L71" i="1"/>
  <c r="J239" i="1"/>
  <c r="J173" i="26"/>
  <c r="J179" i="26" s="1"/>
  <c r="J11" i="26" s="1"/>
  <c r="K223" i="1"/>
  <c r="K227" i="1"/>
  <c r="K167" i="26" s="1"/>
  <c r="K229" i="1"/>
  <c r="K169" i="26" s="1"/>
  <c r="K228" i="1"/>
  <c r="K168" i="26" s="1"/>
  <c r="K225" i="1"/>
  <c r="K165" i="26" s="1"/>
  <c r="K226" i="1"/>
  <c r="K166" i="26" s="1"/>
  <c r="K224" i="1"/>
  <c r="K164" i="26" s="1"/>
  <c r="J230" i="1"/>
  <c r="J167" i="26"/>
  <c r="J170" i="26" s="1"/>
  <c r="J10" i="26" s="1"/>
  <c r="M50" i="1"/>
  <c r="L70" i="1"/>
  <c r="J248" i="1"/>
  <c r="J182" i="26"/>
  <c r="J188" i="26" s="1"/>
  <c r="K243" i="1"/>
  <c r="K183" i="26" s="1"/>
  <c r="K247" i="1"/>
  <c r="K187" i="26" s="1"/>
  <c r="K246" i="1"/>
  <c r="K186" i="26" s="1"/>
  <c r="K242" i="1"/>
  <c r="K245" i="1"/>
  <c r="K185" i="26" s="1"/>
  <c r="K244" i="1"/>
  <c r="K184" i="26" s="1"/>
  <c r="K74" i="1"/>
  <c r="J54" i="1"/>
  <c r="P382" i="16"/>
  <c r="P372" i="16"/>
  <c r="O387" i="16"/>
  <c r="P376" i="16"/>
  <c r="L98" i="26"/>
  <c r="L143" i="26"/>
  <c r="M96" i="26"/>
  <c r="M13" i="26" s="1"/>
  <c r="M85" i="26"/>
  <c r="M74" i="26"/>
  <c r="L132" i="26"/>
  <c r="L121" i="26"/>
  <c r="L110" i="26"/>
  <c r="M63" i="26"/>
  <c r="K145" i="26"/>
  <c r="K151" i="26" s="1"/>
  <c r="M139" i="26"/>
  <c r="M106" i="26"/>
  <c r="M117" i="26"/>
  <c r="M128" i="26"/>
  <c r="N302" i="16"/>
  <c r="M336" i="16"/>
  <c r="O296" i="16"/>
  <c r="P353" i="16"/>
  <c r="N73" i="26"/>
  <c r="N84" i="26"/>
  <c r="N95" i="26"/>
  <c r="N62" i="26"/>
  <c r="N59" i="26"/>
  <c r="N70" i="26"/>
  <c r="N81" i="26"/>
  <c r="N92" i="26"/>
  <c r="O295" i="16"/>
  <c r="N148" i="26"/>
  <c r="N149" i="26" s="1"/>
  <c r="M107" i="26"/>
  <c r="M118" i="26"/>
  <c r="M129" i="26"/>
  <c r="M140" i="26"/>
  <c r="N60" i="26"/>
  <c r="N71" i="26"/>
  <c r="N82" i="26"/>
  <c r="N93" i="26"/>
  <c r="N108" i="26"/>
  <c r="N119" i="26"/>
  <c r="N130" i="26"/>
  <c r="N141" i="26"/>
  <c r="N285" i="16"/>
  <c r="M12" i="49" s="1"/>
  <c r="M109" i="26"/>
  <c r="M120" i="26"/>
  <c r="M131" i="26"/>
  <c r="M142" i="26"/>
  <c r="N116" i="26"/>
  <c r="N127" i="26"/>
  <c r="N138" i="26"/>
  <c r="N105" i="26"/>
  <c r="N89" i="26"/>
  <c r="N56" i="26"/>
  <c r="N67" i="26"/>
  <c r="N78" i="26"/>
  <c r="O297" i="16"/>
  <c r="O58" i="26"/>
  <c r="O69" i="26"/>
  <c r="O80" i="26"/>
  <c r="O91" i="26"/>
  <c r="M103" i="26"/>
  <c r="M114" i="26"/>
  <c r="M125" i="26"/>
  <c r="M136" i="26"/>
  <c r="N294" i="16"/>
  <c r="M21" i="49" s="1"/>
  <c r="O61" i="26"/>
  <c r="O72" i="26"/>
  <c r="O83" i="26"/>
  <c r="O94" i="26"/>
  <c r="N57" i="26"/>
  <c r="N68" i="26"/>
  <c r="N79" i="26"/>
  <c r="N90" i="26"/>
  <c r="N191" i="26"/>
  <c r="N197" i="26" s="1"/>
  <c r="O310" i="16"/>
  <c r="N344" i="16"/>
  <c r="M115" i="26"/>
  <c r="M126" i="26"/>
  <c r="M137" i="26"/>
  <c r="M104" i="26"/>
  <c r="M5" i="16"/>
  <c r="L81" i="38"/>
  <c r="L4" i="3"/>
  <c r="L53" i="3" s="1"/>
  <c r="L157" i="38"/>
  <c r="L161" i="3"/>
  <c r="L357" i="11"/>
  <c r="L5" i="11"/>
  <c r="L5" i="38"/>
  <c r="L181" i="11"/>
  <c r="L124" i="28"/>
  <c r="L98" i="28"/>
  <c r="L159" i="26"/>
  <c r="L30" i="24"/>
  <c r="L5" i="14"/>
  <c r="L74" i="14"/>
  <c r="L228" i="16"/>
  <c r="L71" i="28"/>
  <c r="L259" i="16"/>
  <c r="L219" i="1"/>
  <c r="L4" i="24"/>
  <c r="L94" i="1"/>
  <c r="L130" i="1"/>
  <c r="L314" i="1"/>
  <c r="L5" i="28"/>
  <c r="L51" i="26"/>
  <c r="L5" i="1"/>
  <c r="L366" i="16"/>
  <c r="K4" i="49" s="1"/>
  <c r="K44" i="49" s="1"/>
  <c r="L5" i="27"/>
  <c r="L49" i="27"/>
  <c r="L5" i="26"/>
  <c r="I53" i="3"/>
  <c r="H53" i="3"/>
  <c r="H118" i="3"/>
  <c r="B53" i="3" s="1"/>
  <c r="G53" i="3"/>
  <c r="K53" i="3"/>
  <c r="J53" i="3"/>
  <c r="L606" i="16"/>
  <c r="J100" i="38"/>
  <c r="J108" i="38"/>
  <c r="J116" i="38"/>
  <c r="J124" i="38"/>
  <c r="J132" i="38"/>
  <c r="J140" i="38"/>
  <c r="J21" i="38"/>
  <c r="J29" i="38"/>
  <c r="J37" i="38"/>
  <c r="J99" i="38"/>
  <c r="J107" i="38"/>
  <c r="J115" i="38"/>
  <c r="J123" i="38"/>
  <c r="J131" i="38"/>
  <c r="J139" i="38"/>
  <c r="J20" i="38"/>
  <c r="J28" i="38"/>
  <c r="J36" i="38"/>
  <c r="J98" i="38"/>
  <c r="J106" i="38"/>
  <c r="J114" i="38"/>
  <c r="J122" i="38"/>
  <c r="J130" i="38"/>
  <c r="J138" i="38"/>
  <c r="J19" i="38"/>
  <c r="J27" i="38"/>
  <c r="J35" i="38"/>
  <c r="J97" i="38"/>
  <c r="J105" i="38"/>
  <c r="J113" i="38"/>
  <c r="J121" i="38"/>
  <c r="J129" i="38"/>
  <c r="J137" i="38"/>
  <c r="J18" i="38"/>
  <c r="J26" i="38"/>
  <c r="J34" i="38"/>
  <c r="J96" i="38"/>
  <c r="J104" i="38"/>
  <c r="J112" i="38"/>
  <c r="J120" i="38"/>
  <c r="J128" i="38"/>
  <c r="J136" i="38"/>
  <c r="J17" i="38"/>
  <c r="J25" i="38"/>
  <c r="J33" i="38"/>
  <c r="J95" i="38"/>
  <c r="J103" i="38"/>
  <c r="J111" i="38"/>
  <c r="J119" i="38"/>
  <c r="J127" i="38"/>
  <c r="J135" i="38"/>
  <c r="J24" i="38"/>
  <c r="J32" i="38"/>
  <c r="J94" i="38"/>
  <c r="J102" i="38"/>
  <c r="J110" i="38"/>
  <c r="J118" i="38"/>
  <c r="J126" i="38"/>
  <c r="J134" i="38"/>
  <c r="J23" i="38"/>
  <c r="J31" i="38"/>
  <c r="J93" i="38"/>
  <c r="J101" i="38"/>
  <c r="J109" i="38"/>
  <c r="J117" i="38"/>
  <c r="J125" i="38"/>
  <c r="J133" i="38"/>
  <c r="J141" i="38"/>
  <c r="J22" i="38"/>
  <c r="J30" i="38"/>
  <c r="J41" i="38"/>
  <c r="J49" i="38"/>
  <c r="J57" i="38"/>
  <c r="J65" i="38"/>
  <c r="J40" i="38"/>
  <c r="J48" i="38"/>
  <c r="J56" i="38"/>
  <c r="J64" i="38"/>
  <c r="J39" i="38"/>
  <c r="J47" i="38"/>
  <c r="J55" i="38"/>
  <c r="J63" i="38"/>
  <c r="J46" i="38"/>
  <c r="J54" i="38"/>
  <c r="J62" i="38"/>
  <c r="J38" i="38"/>
  <c r="J45" i="38"/>
  <c r="J53" i="38"/>
  <c r="J61" i="38"/>
  <c r="J44" i="38"/>
  <c r="J52" i="38"/>
  <c r="J60" i="38"/>
  <c r="J43" i="38"/>
  <c r="J51" i="38"/>
  <c r="J59" i="38"/>
  <c r="J66" i="38"/>
  <c r="J50" i="38"/>
  <c r="J42" i="38"/>
  <c r="J58" i="38"/>
  <c r="J363" i="11"/>
  <c r="J167" i="11"/>
  <c r="J343" i="11"/>
  <c r="M397" i="16"/>
  <c r="K195" i="11"/>
  <c r="K203" i="11"/>
  <c r="K211" i="11"/>
  <c r="K219" i="11"/>
  <c r="K227" i="11"/>
  <c r="K235" i="11"/>
  <c r="K243" i="11"/>
  <c r="K251" i="11"/>
  <c r="K194" i="11"/>
  <c r="K202" i="11"/>
  <c r="K210" i="11"/>
  <c r="K218" i="11"/>
  <c r="K226" i="11"/>
  <c r="K234" i="11"/>
  <c r="K242" i="11"/>
  <c r="K250" i="11"/>
  <c r="K193" i="11"/>
  <c r="K201" i="11"/>
  <c r="K200" i="11"/>
  <c r="K208" i="11"/>
  <c r="K216" i="11"/>
  <c r="K224" i="11"/>
  <c r="K232" i="11"/>
  <c r="K240" i="11"/>
  <c r="K248" i="11"/>
  <c r="K199" i="11"/>
  <c r="K207" i="11"/>
  <c r="K215" i="11"/>
  <c r="K223" i="11"/>
  <c r="K231" i="11"/>
  <c r="K239" i="11"/>
  <c r="K198" i="11"/>
  <c r="K206" i="11"/>
  <c r="K214" i="11"/>
  <c r="K222" i="11"/>
  <c r="K230" i="11"/>
  <c r="K238" i="11"/>
  <c r="K197" i="11"/>
  <c r="K205" i="11"/>
  <c r="K213" i="11"/>
  <c r="K221" i="11"/>
  <c r="K229" i="11"/>
  <c r="K237" i="11"/>
  <c r="K245" i="11"/>
  <c r="K253" i="11"/>
  <c r="K209" i="11"/>
  <c r="K241" i="11"/>
  <c r="K246" i="11"/>
  <c r="K257" i="11"/>
  <c r="K265" i="11"/>
  <c r="K273" i="11"/>
  <c r="K281" i="11"/>
  <c r="K289" i="11"/>
  <c r="K297" i="11"/>
  <c r="K305" i="11"/>
  <c r="K313" i="11"/>
  <c r="K321" i="11"/>
  <c r="K228" i="11"/>
  <c r="K244" i="11"/>
  <c r="K256" i="11"/>
  <c r="K264" i="11"/>
  <c r="K272" i="11"/>
  <c r="K280" i="11"/>
  <c r="K288" i="11"/>
  <c r="K296" i="11"/>
  <c r="K304" i="11"/>
  <c r="K312" i="11"/>
  <c r="K320" i="11"/>
  <c r="K328" i="11"/>
  <c r="K220" i="11"/>
  <c r="K247" i="11"/>
  <c r="K262" i="11"/>
  <c r="K270" i="11"/>
  <c r="K278" i="11"/>
  <c r="K286" i="11"/>
  <c r="K294" i="11"/>
  <c r="K302" i="11"/>
  <c r="K310" i="11"/>
  <c r="K318" i="11"/>
  <c r="K326" i="11"/>
  <c r="K225" i="11"/>
  <c r="K254" i="11"/>
  <c r="K261" i="11"/>
  <c r="K269" i="11"/>
  <c r="K277" i="11"/>
  <c r="K285" i="11"/>
  <c r="K293" i="11"/>
  <c r="K301" i="11"/>
  <c r="K309" i="11"/>
  <c r="K317" i="11"/>
  <c r="K325" i="11"/>
  <c r="K196" i="11"/>
  <c r="K217" i="11"/>
  <c r="K259" i="11"/>
  <c r="K275" i="11"/>
  <c r="K291" i="11"/>
  <c r="K307" i="11"/>
  <c r="K323" i="11"/>
  <c r="K329" i="11"/>
  <c r="K337" i="11"/>
  <c r="K19" i="11"/>
  <c r="K27" i="11"/>
  <c r="K35" i="11"/>
  <c r="K43" i="11"/>
  <c r="K51" i="11"/>
  <c r="K233" i="11"/>
  <c r="K255" i="11"/>
  <c r="K271" i="11"/>
  <c r="K287" i="11"/>
  <c r="K303" i="11"/>
  <c r="K319" i="11"/>
  <c r="K335" i="11"/>
  <c r="K17" i="11"/>
  <c r="K25" i="11"/>
  <c r="K252" i="11"/>
  <c r="K260" i="11"/>
  <c r="K276" i="11"/>
  <c r="K292" i="11"/>
  <c r="K308" i="11"/>
  <c r="K324" i="11"/>
  <c r="K334" i="11"/>
  <c r="K342" i="11"/>
  <c r="K24" i="11"/>
  <c r="K32" i="11"/>
  <c r="K40" i="11"/>
  <c r="K212" i="11"/>
  <c r="K267" i="11"/>
  <c r="K283" i="11"/>
  <c r="K299" i="11"/>
  <c r="K315" i="11"/>
  <c r="K333" i="11"/>
  <c r="K341" i="11"/>
  <c r="K23" i="11"/>
  <c r="K31" i="11"/>
  <c r="K39" i="11"/>
  <c r="K47" i="11"/>
  <c r="K258" i="11"/>
  <c r="K290" i="11"/>
  <c r="K322" i="11"/>
  <c r="K332" i="11"/>
  <c r="K22" i="11"/>
  <c r="K34" i="11"/>
  <c r="K46" i="11"/>
  <c r="K49" i="11"/>
  <c r="K52" i="11"/>
  <c r="K263" i="11"/>
  <c r="K295" i="11"/>
  <c r="K327" i="11"/>
  <c r="K339" i="11"/>
  <c r="K36" i="11"/>
  <c r="K38" i="11"/>
  <c r="K204" i="11"/>
  <c r="K268" i="11"/>
  <c r="K300" i="11"/>
  <c r="K330" i="11"/>
  <c r="K20" i="11"/>
  <c r="K29" i="11"/>
  <c r="K282" i="11"/>
  <c r="K314" i="11"/>
  <c r="K18" i="11"/>
  <c r="K42" i="11"/>
  <c r="K45" i="11"/>
  <c r="K48" i="11"/>
  <c r="K54" i="11"/>
  <c r="K62" i="11"/>
  <c r="K70" i="11"/>
  <c r="K78" i="11"/>
  <c r="K86" i="11"/>
  <c r="K94" i="11"/>
  <c r="K102" i="11"/>
  <c r="K110" i="11"/>
  <c r="K118" i="11"/>
  <c r="K249" i="11"/>
  <c r="K279" i="11"/>
  <c r="K311" i="11"/>
  <c r="K331" i="11"/>
  <c r="K21" i="11"/>
  <c r="K37" i="11"/>
  <c r="K284" i="11"/>
  <c r="K316" i="11"/>
  <c r="K338" i="11"/>
  <c r="K28" i="11"/>
  <c r="K30" i="11"/>
  <c r="K44" i="11"/>
  <c r="K59" i="11"/>
  <c r="K67" i="11"/>
  <c r="K75" i="11"/>
  <c r="K83" i="11"/>
  <c r="K91" i="11"/>
  <c r="K99" i="11"/>
  <c r="K107" i="11"/>
  <c r="K115" i="11"/>
  <c r="K123" i="11"/>
  <c r="K131" i="11"/>
  <c r="K139" i="11"/>
  <c r="K147" i="11"/>
  <c r="K155" i="11"/>
  <c r="K163" i="11"/>
  <c r="K266" i="11"/>
  <c r="K298" i="11"/>
  <c r="K336" i="11"/>
  <c r="K26" i="11"/>
  <c r="K364" i="11" s="1"/>
  <c r="K381" i="11" s="1"/>
  <c r="K41" i="11"/>
  <c r="K58" i="11"/>
  <c r="K66" i="11"/>
  <c r="K74" i="11"/>
  <c r="K82" i="11"/>
  <c r="K90" i="11"/>
  <c r="K98" i="11"/>
  <c r="K33" i="11"/>
  <c r="K60" i="11"/>
  <c r="K71" i="11"/>
  <c r="K73" i="11"/>
  <c r="K93" i="11"/>
  <c r="K100" i="11"/>
  <c r="K103" i="11"/>
  <c r="K127" i="11"/>
  <c r="K140" i="11"/>
  <c r="K144" i="11"/>
  <c r="K157" i="11"/>
  <c r="K161" i="11"/>
  <c r="K64" i="11"/>
  <c r="K84" i="11"/>
  <c r="K95" i="11"/>
  <c r="K97" i="11"/>
  <c r="K114" i="11"/>
  <c r="K117" i="11"/>
  <c r="K120" i="11"/>
  <c r="K135" i="11"/>
  <c r="K148" i="11"/>
  <c r="K152" i="11"/>
  <c r="K55" i="11"/>
  <c r="K57" i="11"/>
  <c r="K77" i="11"/>
  <c r="K88" i="11"/>
  <c r="K105" i="11"/>
  <c r="K108" i="11"/>
  <c r="K111" i="11"/>
  <c r="K126" i="11"/>
  <c r="K130" i="11"/>
  <c r="K143" i="11"/>
  <c r="K156" i="11"/>
  <c r="K160" i="11"/>
  <c r="K306" i="11"/>
  <c r="K50" i="11"/>
  <c r="K53" i="11"/>
  <c r="K68" i="11"/>
  <c r="K79" i="11"/>
  <c r="K81" i="11"/>
  <c r="K122" i="11"/>
  <c r="K134" i="11"/>
  <c r="K138" i="11"/>
  <c r="K151" i="11"/>
  <c r="K274" i="11"/>
  <c r="K61" i="11"/>
  <c r="K72" i="11"/>
  <c r="K92" i="11"/>
  <c r="K113" i="11"/>
  <c r="K116" i="11"/>
  <c r="K119" i="11"/>
  <c r="K125" i="11"/>
  <c r="K129" i="11"/>
  <c r="K142" i="11"/>
  <c r="K146" i="11"/>
  <c r="K159" i="11"/>
  <c r="K340" i="11"/>
  <c r="K63" i="11"/>
  <c r="K65" i="11"/>
  <c r="K85" i="11"/>
  <c r="K96" i="11"/>
  <c r="K101" i="11"/>
  <c r="K104" i="11"/>
  <c r="K133" i="11"/>
  <c r="K137" i="11"/>
  <c r="K236" i="11"/>
  <c r="K56" i="11"/>
  <c r="K76" i="11"/>
  <c r="K87" i="11"/>
  <c r="K89" i="11"/>
  <c r="K121" i="11"/>
  <c r="K124" i="11"/>
  <c r="K128" i="11"/>
  <c r="K141" i="11"/>
  <c r="K145" i="11"/>
  <c r="K158" i="11"/>
  <c r="K69" i="11"/>
  <c r="K162" i="11"/>
  <c r="K112" i="11"/>
  <c r="K164" i="11"/>
  <c r="L548" i="16"/>
  <c r="K136" i="11"/>
  <c r="K132" i="11"/>
  <c r="K166" i="11"/>
  <c r="K109" i="11"/>
  <c r="K153" i="11"/>
  <c r="K106" i="11"/>
  <c r="K154" i="11"/>
  <c r="K150" i="11"/>
  <c r="K80" i="11"/>
  <c r="K149" i="11"/>
  <c r="K165" i="11"/>
  <c r="N278" i="16"/>
  <c r="O268" i="16"/>
  <c r="O270" i="16"/>
  <c r="N280" i="16"/>
  <c r="O276" i="16"/>
  <c r="P266" i="16"/>
  <c r="O264" i="16"/>
  <c r="O267" i="16"/>
  <c r="N277" i="16"/>
  <c r="N275" i="16"/>
  <c r="O265" i="16"/>
  <c r="P269" i="16"/>
  <c r="O279" i="16"/>
  <c r="E43" i="26"/>
  <c r="E7" i="24"/>
  <c r="E9" i="24" s="1"/>
  <c r="E21" i="24" s="1"/>
  <c r="I182" i="26"/>
  <c r="I188" i="26" s="1"/>
  <c r="I248" i="1"/>
  <c r="I660" i="1"/>
  <c r="I425" i="1"/>
  <c r="I424" i="1"/>
  <c r="I426" i="1"/>
  <c r="I427" i="1"/>
  <c r="I403" i="1"/>
  <c r="I417" i="1" s="1"/>
  <c r="G151" i="26"/>
  <c r="H98" i="26"/>
  <c r="H11" i="26"/>
  <c r="H382" i="11"/>
  <c r="F15" i="16"/>
  <c r="F26" i="16" s="1"/>
  <c r="F37" i="16" s="1"/>
  <c r="F39" i="16" s="1"/>
  <c r="F98" i="16"/>
  <c r="F110" i="16" s="1"/>
  <c r="F112" i="16" s="1"/>
  <c r="H8" i="24"/>
  <c r="I239" i="1"/>
  <c r="E15" i="16"/>
  <c r="H163" i="38"/>
  <c r="E107" i="16"/>
  <c r="H190" i="11"/>
  <c r="H345" i="11" s="1"/>
  <c r="H347" i="11" s="1"/>
  <c r="I183" i="11" s="1"/>
  <c r="I187" i="11" s="1"/>
  <c r="E110" i="16"/>
  <c r="E112" i="16" s="1"/>
  <c r="H145" i="26"/>
  <c r="I132" i="26"/>
  <c r="I19" i="26" s="1"/>
  <c r="E180" i="16"/>
  <c r="E244" i="16"/>
  <c r="E183" i="16"/>
  <c r="E185" i="16" s="1"/>
  <c r="E173" i="16"/>
  <c r="H176" i="38"/>
  <c r="I74" i="26"/>
  <c r="I340" i="1"/>
  <c r="I366" i="1" s="1"/>
  <c r="I8" i="24"/>
  <c r="I110" i="26"/>
  <c r="I121" i="26"/>
  <c r="F170" i="26"/>
  <c r="F10" i="26" s="1"/>
  <c r="F230" i="1"/>
  <c r="F259" i="1" s="1"/>
  <c r="I381" i="11"/>
  <c r="I174" i="38"/>
  <c r="I169" i="38"/>
  <c r="F239" i="16"/>
  <c r="F240" i="16" s="1"/>
  <c r="J162" i="38" l="1"/>
  <c r="O35" i="49"/>
  <c r="O37" i="49"/>
  <c r="O40" i="49"/>
  <c r="O36" i="49"/>
  <c r="O38" i="49"/>
  <c r="O39" i="49"/>
  <c r="O34" i="49"/>
  <c r="M9" i="49"/>
  <c r="M8" i="49"/>
  <c r="M13" i="49"/>
  <c r="M52" i="49" s="1"/>
  <c r="M14" i="49"/>
  <c r="M18" i="49"/>
  <c r="M57" i="49" s="1"/>
  <c r="M22" i="49"/>
  <c r="M10" i="49"/>
  <c r="M49" i="49" s="1"/>
  <c r="M17" i="49"/>
  <c r="M56" i="49" s="1"/>
  <c r="M19" i="49"/>
  <c r="M58" i="49" s="1"/>
  <c r="M16" i="49"/>
  <c r="M55" i="49" s="1"/>
  <c r="N18" i="49"/>
  <c r="M20" i="49"/>
  <c r="M59" i="49" s="1"/>
  <c r="M11" i="49"/>
  <c r="M50" i="49" s="1"/>
  <c r="M61" i="49"/>
  <c r="M51" i="49"/>
  <c r="M53" i="49"/>
  <c r="H114" i="28"/>
  <c r="H168" i="16" s="1"/>
  <c r="H169" i="16" s="1"/>
  <c r="I56" i="28"/>
  <c r="M18" i="27"/>
  <c r="N26" i="14"/>
  <c r="O11" i="14"/>
  <c r="N55" i="27"/>
  <c r="N12" i="27" s="1"/>
  <c r="N32" i="14"/>
  <c r="N62" i="14"/>
  <c r="N76" i="27" s="1"/>
  <c r="O17" i="14"/>
  <c r="N61" i="27"/>
  <c r="K21" i="27"/>
  <c r="K8" i="24" s="1"/>
  <c r="M33" i="14"/>
  <c r="M657" i="1"/>
  <c r="E82" i="16"/>
  <c r="E114" i="16" s="1"/>
  <c r="E115" i="16" s="1"/>
  <c r="E117" i="16" s="1"/>
  <c r="M655" i="1"/>
  <c r="O66" i="26"/>
  <c r="O55" i="26"/>
  <c r="I365" i="11"/>
  <c r="M222" i="26"/>
  <c r="M228" i="26" s="1"/>
  <c r="L64" i="27"/>
  <c r="L65" i="14"/>
  <c r="L50" i="14" s="1"/>
  <c r="L77" i="27"/>
  <c r="L17" i="27"/>
  <c r="L19" i="27" s="1"/>
  <c r="N61" i="14"/>
  <c r="O16" i="14"/>
  <c r="N31" i="14"/>
  <c r="N60" i="27"/>
  <c r="M63" i="14"/>
  <c r="M48" i="14" s="1"/>
  <c r="M75" i="27"/>
  <c r="M16" i="27"/>
  <c r="M62" i="27"/>
  <c r="O15" i="14"/>
  <c r="O60" i="14" s="1"/>
  <c r="O74" i="27" s="1"/>
  <c r="N30" i="14"/>
  <c r="N59" i="27"/>
  <c r="N18" i="14"/>
  <c r="M27" i="14"/>
  <c r="N102" i="26"/>
  <c r="H39" i="27"/>
  <c r="H156" i="16" s="1"/>
  <c r="O417" i="1"/>
  <c r="O77" i="26"/>
  <c r="O88" i="26"/>
  <c r="O102" i="26"/>
  <c r="P263" i="16"/>
  <c r="N135" i="26"/>
  <c r="N124" i="26"/>
  <c r="G39" i="27"/>
  <c r="G156" i="16" s="1"/>
  <c r="G19" i="24"/>
  <c r="I10" i="11"/>
  <c r="I14" i="11" s="1"/>
  <c r="I169" i="11" s="1"/>
  <c r="I171" i="11" s="1"/>
  <c r="J7" i="11" s="1"/>
  <c r="I41" i="26"/>
  <c r="I83" i="16" s="1"/>
  <c r="H41" i="26"/>
  <c r="H83" i="16" s="1"/>
  <c r="H19" i="24"/>
  <c r="L19" i="26"/>
  <c r="M237" i="26"/>
  <c r="P424" i="1"/>
  <c r="P433" i="1" s="1"/>
  <c r="P379" i="1"/>
  <c r="P417" i="1" s="1"/>
  <c r="K618" i="1"/>
  <c r="K644" i="1" s="1"/>
  <c r="K652" i="1"/>
  <c r="K660" i="1" s="1"/>
  <c r="P492" i="1"/>
  <c r="P499" i="1" s="1"/>
  <c r="O499" i="1"/>
  <c r="N585" i="1"/>
  <c r="O12" i="1"/>
  <c r="N588" i="1"/>
  <c r="N33" i="1"/>
  <c r="N34" i="1" s="1"/>
  <c r="N590" i="1"/>
  <c r="N587" i="1"/>
  <c r="N582" i="1"/>
  <c r="N586" i="1"/>
  <c r="N584" i="1"/>
  <c r="N589" i="1"/>
  <c r="N13" i="1"/>
  <c r="N583" i="1"/>
  <c r="O433" i="1"/>
  <c r="L20" i="26"/>
  <c r="O638" i="1"/>
  <c r="O639" i="1"/>
  <c r="O637" i="1"/>
  <c r="O633" i="1"/>
  <c r="O636" i="1"/>
  <c r="O635" i="1"/>
  <c r="O634" i="1"/>
  <c r="P19" i="1"/>
  <c r="O79" i="1"/>
  <c r="O641" i="1"/>
  <c r="O39" i="1"/>
  <c r="O640" i="1"/>
  <c r="N294" i="1"/>
  <c r="N234" i="26" s="1"/>
  <c r="N291" i="1"/>
  <c r="N293" i="1"/>
  <c r="N233" i="26" s="1"/>
  <c r="N292" i="1"/>
  <c r="N232" i="26" s="1"/>
  <c r="N296" i="1"/>
  <c r="N236" i="26" s="1"/>
  <c r="N295" i="1"/>
  <c r="N235" i="26" s="1"/>
  <c r="O625" i="1"/>
  <c r="O624" i="1"/>
  <c r="O628" i="1"/>
  <c r="O38" i="1"/>
  <c r="O623" i="1"/>
  <c r="P18" i="1"/>
  <c r="O622" i="1"/>
  <c r="O78" i="1"/>
  <c r="O621" i="1"/>
  <c r="O629" i="1"/>
  <c r="O627" i="1"/>
  <c r="O626" i="1"/>
  <c r="M503" i="1"/>
  <c r="L511" i="1"/>
  <c r="L610" i="1"/>
  <c r="N43" i="1"/>
  <c r="N44" i="1" s="1"/>
  <c r="N647" i="1"/>
  <c r="N648" i="1" s="1"/>
  <c r="N24" i="1"/>
  <c r="O23" i="1"/>
  <c r="N83" i="1"/>
  <c r="N606" i="1"/>
  <c r="N37" i="1"/>
  <c r="N40" i="1" s="1"/>
  <c r="N613" i="1"/>
  <c r="N655" i="1" s="1"/>
  <c r="O17" i="1"/>
  <c r="O20" i="1" s="1"/>
  <c r="N612" i="1"/>
  <c r="N611" i="1"/>
  <c r="N609" i="1"/>
  <c r="N617" i="1"/>
  <c r="N659" i="1" s="1"/>
  <c r="N616" i="1"/>
  <c r="N658" i="1" s="1"/>
  <c r="N614" i="1"/>
  <c r="N615" i="1"/>
  <c r="L304" i="1"/>
  <c r="L242" i="26"/>
  <c r="L243" i="26" s="1"/>
  <c r="M591" i="1"/>
  <c r="N642" i="1"/>
  <c r="P16" i="1"/>
  <c r="O605" i="1"/>
  <c r="O604" i="1"/>
  <c r="O36" i="1"/>
  <c r="O603" i="1"/>
  <c r="O597" i="1"/>
  <c r="O602" i="1"/>
  <c r="O600" i="1"/>
  <c r="O601" i="1"/>
  <c r="O599" i="1"/>
  <c r="O598" i="1"/>
  <c r="N630" i="1"/>
  <c r="M303" i="1"/>
  <c r="M84" i="1"/>
  <c r="N286" i="1"/>
  <c r="N226" i="26" s="1"/>
  <c r="N285" i="1"/>
  <c r="N225" i="26" s="1"/>
  <c r="N284" i="1"/>
  <c r="N224" i="26" s="1"/>
  <c r="N287" i="1"/>
  <c r="N227" i="26" s="1"/>
  <c r="N283" i="1"/>
  <c r="N223" i="26" s="1"/>
  <c r="N282" i="1"/>
  <c r="M297" i="1"/>
  <c r="M46" i="1"/>
  <c r="M288" i="1"/>
  <c r="H10" i="38"/>
  <c r="H14" i="38" s="1"/>
  <c r="H69" i="38" s="1"/>
  <c r="H71" i="38" s="1"/>
  <c r="I7" i="38" s="1"/>
  <c r="I145" i="38"/>
  <c r="I147" i="38" s="1"/>
  <c r="J83" i="38" s="1"/>
  <c r="J87" i="38" s="1"/>
  <c r="J90" i="38" s="1"/>
  <c r="M11" i="27"/>
  <c r="N25" i="14"/>
  <c r="O10" i="14"/>
  <c r="N54" i="27"/>
  <c r="N55" i="14"/>
  <c r="N69" i="27" s="1"/>
  <c r="L10" i="27"/>
  <c r="L13" i="27" s="1"/>
  <c r="L71" i="27"/>
  <c r="O9" i="14"/>
  <c r="N24" i="14"/>
  <c r="N12" i="14"/>
  <c r="N53" i="27"/>
  <c r="N54" i="14"/>
  <c r="M56" i="27"/>
  <c r="M142" i="38"/>
  <c r="M20" i="14"/>
  <c r="L42" i="14"/>
  <c r="M57" i="14"/>
  <c r="M68" i="27"/>
  <c r="M71" i="27" s="1"/>
  <c r="J259" i="1"/>
  <c r="P457" i="1"/>
  <c r="P564" i="1" s="1"/>
  <c r="O564" i="1"/>
  <c r="P454" i="1"/>
  <c r="P561" i="1" s="1"/>
  <c r="O561" i="1"/>
  <c r="O562" i="1"/>
  <c r="P455" i="1"/>
  <c r="P452" i="1"/>
  <c r="P559" i="1" s="1"/>
  <c r="O559" i="1"/>
  <c r="P456" i="1"/>
  <c r="P563" i="1" s="1"/>
  <c r="O563" i="1"/>
  <c r="L567" i="1"/>
  <c r="L593" i="1" s="1"/>
  <c r="L651" i="1"/>
  <c r="P453" i="1"/>
  <c r="P560" i="1" s="1"/>
  <c r="O560" i="1"/>
  <c r="N451" i="1"/>
  <c r="M460" i="1"/>
  <c r="M558" i="1"/>
  <c r="P459" i="1"/>
  <c r="P566" i="1" s="1"/>
  <c r="O566" i="1"/>
  <c r="P458" i="1"/>
  <c r="P565" i="1" s="1"/>
  <c r="O565" i="1"/>
  <c r="P439" i="1"/>
  <c r="O546" i="1"/>
  <c r="P444" i="1"/>
  <c r="P551" i="1" s="1"/>
  <c r="O551" i="1"/>
  <c r="O440" i="1"/>
  <c r="N547" i="1"/>
  <c r="P446" i="1"/>
  <c r="P553" i="1" s="1"/>
  <c r="O553" i="1"/>
  <c r="P445" i="1"/>
  <c r="P552" i="1" s="1"/>
  <c r="O552" i="1"/>
  <c r="P443" i="1"/>
  <c r="P550" i="1" s="1"/>
  <c r="O550" i="1"/>
  <c r="P447" i="1"/>
  <c r="P554" i="1" s="1"/>
  <c r="O554" i="1"/>
  <c r="P442" i="1"/>
  <c r="P549" i="1" s="1"/>
  <c r="O549" i="1"/>
  <c r="P471" i="1"/>
  <c r="P578" i="1" s="1"/>
  <c r="O578" i="1"/>
  <c r="N579" i="1"/>
  <c r="P463" i="1"/>
  <c r="P570" i="1" s="1"/>
  <c r="O570" i="1"/>
  <c r="O472" i="1"/>
  <c r="P466" i="1"/>
  <c r="P573" i="1" s="1"/>
  <c r="O573" i="1"/>
  <c r="P468" i="1"/>
  <c r="P575" i="1" s="1"/>
  <c r="O575" i="1"/>
  <c r="P470" i="1"/>
  <c r="P577" i="1" s="1"/>
  <c r="O577" i="1"/>
  <c r="P469" i="1"/>
  <c r="P576" i="1" s="1"/>
  <c r="O576" i="1"/>
  <c r="O572" i="1"/>
  <c r="P465" i="1"/>
  <c r="L235" i="1"/>
  <c r="L175" i="26" s="1"/>
  <c r="L238" i="1"/>
  <c r="L178" i="26" s="1"/>
  <c r="L234" i="1"/>
  <c r="L174" i="26" s="1"/>
  <c r="L233" i="1"/>
  <c r="L236" i="1"/>
  <c r="L176" i="26" s="1"/>
  <c r="L237" i="1"/>
  <c r="L177" i="26" s="1"/>
  <c r="N51" i="1"/>
  <c r="M71" i="1"/>
  <c r="K239" i="1"/>
  <c r="K173" i="26"/>
  <c r="K179" i="26" s="1"/>
  <c r="K11" i="26" s="1"/>
  <c r="L228" i="1"/>
  <c r="L168" i="26" s="1"/>
  <c r="L226" i="1"/>
  <c r="L166" i="26" s="1"/>
  <c r="L227" i="1"/>
  <c r="L167" i="26" s="1"/>
  <c r="L225" i="1"/>
  <c r="L165" i="26" s="1"/>
  <c r="L223" i="1"/>
  <c r="L224" i="1"/>
  <c r="L164" i="26" s="1"/>
  <c r="L229" i="1"/>
  <c r="L169" i="26" s="1"/>
  <c r="N50" i="1"/>
  <c r="M70" i="1"/>
  <c r="K230" i="1"/>
  <c r="K163" i="26"/>
  <c r="K170" i="26" s="1"/>
  <c r="K10" i="26" s="1"/>
  <c r="K248" i="1"/>
  <c r="K182" i="26"/>
  <c r="K188" i="26" s="1"/>
  <c r="J199" i="26"/>
  <c r="J14" i="26"/>
  <c r="K54" i="1"/>
  <c r="L74" i="1"/>
  <c r="L243" i="1"/>
  <c r="L183" i="26" s="1"/>
  <c r="L247" i="1"/>
  <c r="L187" i="26" s="1"/>
  <c r="L246" i="1"/>
  <c r="L186" i="26" s="1"/>
  <c r="L242" i="1"/>
  <c r="L244" i="1"/>
  <c r="L184" i="26" s="1"/>
  <c r="L245" i="1"/>
  <c r="L185" i="26" s="1"/>
  <c r="P387" i="16"/>
  <c r="M98" i="26"/>
  <c r="M143" i="26"/>
  <c r="N85" i="26"/>
  <c r="N63" i="26"/>
  <c r="M121" i="26"/>
  <c r="L145" i="26"/>
  <c r="L151" i="26" s="1"/>
  <c r="M110" i="26"/>
  <c r="N74" i="26"/>
  <c r="M132" i="26"/>
  <c r="N96" i="26"/>
  <c r="N13" i="26" s="1"/>
  <c r="P61" i="26"/>
  <c r="P72" i="26"/>
  <c r="P83" i="26"/>
  <c r="P94" i="26"/>
  <c r="P296" i="16"/>
  <c r="O90" i="26"/>
  <c r="O57" i="26"/>
  <c r="O68" i="26"/>
  <c r="O79" i="26"/>
  <c r="P91" i="26"/>
  <c r="P58" i="26"/>
  <c r="P69" i="26"/>
  <c r="P80" i="26"/>
  <c r="O105" i="26"/>
  <c r="O116" i="26"/>
  <c r="O127" i="26"/>
  <c r="O138" i="26"/>
  <c r="N128" i="26"/>
  <c r="N139" i="26"/>
  <c r="N106" i="26"/>
  <c r="N117" i="26"/>
  <c r="N109" i="26"/>
  <c r="N120" i="26"/>
  <c r="N131" i="26"/>
  <c r="N142" i="26"/>
  <c r="O302" i="16"/>
  <c r="N336" i="16"/>
  <c r="O294" i="16"/>
  <c r="N20" i="49" s="1"/>
  <c r="O59" i="26"/>
  <c r="O70" i="26"/>
  <c r="O81" i="26"/>
  <c r="O92" i="26"/>
  <c r="O62" i="26"/>
  <c r="O73" i="26"/>
  <c r="O84" i="26"/>
  <c r="O95" i="26"/>
  <c r="M60" i="49"/>
  <c r="N103" i="26"/>
  <c r="N114" i="26"/>
  <c r="N125" i="26"/>
  <c r="N136" i="26"/>
  <c r="O60" i="26"/>
  <c r="O71" i="26"/>
  <c r="O82" i="26"/>
  <c r="O93" i="26"/>
  <c r="P295" i="16"/>
  <c r="N140" i="26"/>
  <c r="O148" i="26"/>
  <c r="O149" i="26" s="1"/>
  <c r="N107" i="26"/>
  <c r="N118" i="26"/>
  <c r="N129" i="26"/>
  <c r="O191" i="26"/>
  <c r="O197" i="26" s="1"/>
  <c r="O344" i="16"/>
  <c r="P310" i="16"/>
  <c r="N104" i="26"/>
  <c r="N115" i="26"/>
  <c r="N126" i="26"/>
  <c r="N137" i="26"/>
  <c r="P297" i="16"/>
  <c r="O78" i="26"/>
  <c r="O89" i="26"/>
  <c r="O56" i="26"/>
  <c r="O67" i="26"/>
  <c r="O141" i="26"/>
  <c r="O108" i="26"/>
  <c r="O119" i="26"/>
  <c r="O130" i="26"/>
  <c r="O285" i="16"/>
  <c r="N8" i="49" s="1"/>
  <c r="M48" i="49"/>
  <c r="M47" i="49"/>
  <c r="E24" i="24"/>
  <c r="J10" i="11"/>
  <c r="J14" i="11" s="1"/>
  <c r="J40" i="28"/>
  <c r="J89" i="28" s="1"/>
  <c r="J380" i="11"/>
  <c r="J382" i="11" s="1"/>
  <c r="J365" i="11"/>
  <c r="J163" i="38"/>
  <c r="J175" i="38"/>
  <c r="J176" i="38" s="1"/>
  <c r="K93" i="38"/>
  <c r="K101" i="38"/>
  <c r="K109" i="38"/>
  <c r="K117" i="38"/>
  <c r="K125" i="38"/>
  <c r="K133" i="38"/>
  <c r="K141" i="38"/>
  <c r="K22" i="38"/>
  <c r="K30" i="38"/>
  <c r="K100" i="38"/>
  <c r="K108" i="38"/>
  <c r="K116" i="38"/>
  <c r="K124" i="38"/>
  <c r="K132" i="38"/>
  <c r="K140" i="38"/>
  <c r="K21" i="38"/>
  <c r="K29" i="38"/>
  <c r="K37" i="38"/>
  <c r="K99" i="38"/>
  <c r="K107" i="38"/>
  <c r="K115" i="38"/>
  <c r="K123" i="38"/>
  <c r="K131" i="38"/>
  <c r="K139" i="38"/>
  <c r="K20" i="38"/>
  <c r="K28" i="38"/>
  <c r="K36" i="38"/>
  <c r="K98" i="38"/>
  <c r="K106" i="38"/>
  <c r="K114" i="38"/>
  <c r="K122" i="38"/>
  <c r="K130" i="38"/>
  <c r="K138" i="38"/>
  <c r="K19" i="38"/>
  <c r="K27" i="38"/>
  <c r="K35" i="38"/>
  <c r="K97" i="38"/>
  <c r="K105" i="38"/>
  <c r="K113" i="38"/>
  <c r="K121" i="38"/>
  <c r="K129" i="38"/>
  <c r="K137" i="38"/>
  <c r="K18" i="38"/>
  <c r="K26" i="38"/>
  <c r="K34" i="38"/>
  <c r="K96" i="38"/>
  <c r="K104" i="38"/>
  <c r="K112" i="38"/>
  <c r="K120" i="38"/>
  <c r="K128" i="38"/>
  <c r="K136" i="38"/>
  <c r="K17" i="38"/>
  <c r="K25" i="38"/>
  <c r="K33" i="38"/>
  <c r="K95" i="38"/>
  <c r="K103" i="38"/>
  <c r="K111" i="38"/>
  <c r="K119" i="38"/>
  <c r="K127" i="38"/>
  <c r="K135" i="38"/>
  <c r="K24" i="38"/>
  <c r="K32" i="38"/>
  <c r="K94" i="38"/>
  <c r="K102" i="38"/>
  <c r="K110" i="38"/>
  <c r="K118" i="38"/>
  <c r="K126" i="38"/>
  <c r="K134" i="38"/>
  <c r="K23" i="38"/>
  <c r="K31" i="38"/>
  <c r="K42" i="38"/>
  <c r="K50" i="38"/>
  <c r="K58" i="38"/>
  <c r="K66" i="38"/>
  <c r="K41" i="38"/>
  <c r="K49" i="38"/>
  <c r="K57" i="38"/>
  <c r="K65" i="38"/>
  <c r="K40" i="38"/>
  <c r="K48" i="38"/>
  <c r="K56" i="38"/>
  <c r="K64" i="38"/>
  <c r="K39" i="38"/>
  <c r="K47" i="38"/>
  <c r="K55" i="38"/>
  <c r="K63" i="38"/>
  <c r="K46" i="38"/>
  <c r="K54" i="38"/>
  <c r="K62" i="38"/>
  <c r="K38" i="38"/>
  <c r="K45" i="38"/>
  <c r="K53" i="38"/>
  <c r="K61" i="38"/>
  <c r="K44" i="38"/>
  <c r="K52" i="38"/>
  <c r="K60" i="38"/>
  <c r="K59" i="38"/>
  <c r="K51" i="38"/>
  <c r="K43" i="38"/>
  <c r="J67" i="38"/>
  <c r="K363" i="11"/>
  <c r="K167" i="11"/>
  <c r="K343" i="11"/>
  <c r="N397" i="16"/>
  <c r="L196" i="11"/>
  <c r="L204" i="11"/>
  <c r="L212" i="11"/>
  <c r="L220" i="11"/>
  <c r="L228" i="11"/>
  <c r="L236" i="11"/>
  <c r="L244" i="11"/>
  <c r="L252" i="11"/>
  <c r="L195" i="11"/>
  <c r="L203" i="11"/>
  <c r="L211" i="11"/>
  <c r="L219" i="11"/>
  <c r="L227" i="11"/>
  <c r="L235" i="11"/>
  <c r="L243" i="11"/>
  <c r="L251" i="11"/>
  <c r="L194" i="11"/>
  <c r="L193" i="11"/>
  <c r="L201" i="11"/>
  <c r="L209" i="11"/>
  <c r="L217" i="11"/>
  <c r="L225" i="11"/>
  <c r="L233" i="11"/>
  <c r="L241" i="11"/>
  <c r="L249" i="11"/>
  <c r="L200" i="11"/>
  <c r="L208" i="11"/>
  <c r="L216" i="11"/>
  <c r="L224" i="11"/>
  <c r="L232" i="11"/>
  <c r="L240" i="11"/>
  <c r="L199" i="11"/>
  <c r="L207" i="11"/>
  <c r="L215" i="11"/>
  <c r="L223" i="11"/>
  <c r="L231" i="11"/>
  <c r="L239" i="11"/>
  <c r="L198" i="11"/>
  <c r="L206" i="11"/>
  <c r="L214" i="11"/>
  <c r="L222" i="11"/>
  <c r="L230" i="11"/>
  <c r="L238" i="11"/>
  <c r="L246" i="11"/>
  <c r="L254" i="11"/>
  <c r="L218" i="11"/>
  <c r="L258" i="11"/>
  <c r="L266" i="11"/>
  <c r="L274" i="11"/>
  <c r="L282" i="11"/>
  <c r="L290" i="11"/>
  <c r="L298" i="11"/>
  <c r="L306" i="11"/>
  <c r="L314" i="11"/>
  <c r="L322" i="11"/>
  <c r="L205" i="11"/>
  <c r="L237" i="11"/>
  <c r="L253" i="11"/>
  <c r="L257" i="11"/>
  <c r="L265" i="11"/>
  <c r="L273" i="11"/>
  <c r="L281" i="11"/>
  <c r="L289" i="11"/>
  <c r="L297" i="11"/>
  <c r="L305" i="11"/>
  <c r="L313" i="11"/>
  <c r="L321" i="11"/>
  <c r="L229" i="11"/>
  <c r="L255" i="11"/>
  <c r="L263" i="11"/>
  <c r="L271" i="11"/>
  <c r="L279" i="11"/>
  <c r="L287" i="11"/>
  <c r="L295" i="11"/>
  <c r="L303" i="11"/>
  <c r="L311" i="11"/>
  <c r="L319" i="11"/>
  <c r="L327" i="11"/>
  <c r="L202" i="11"/>
  <c r="L234" i="11"/>
  <c r="L247" i="11"/>
  <c r="L262" i="11"/>
  <c r="L270" i="11"/>
  <c r="L278" i="11"/>
  <c r="L286" i="11"/>
  <c r="L294" i="11"/>
  <c r="L302" i="11"/>
  <c r="L310" i="11"/>
  <c r="L318" i="11"/>
  <c r="L326" i="11"/>
  <c r="L226" i="11"/>
  <c r="L250" i="11"/>
  <c r="L268" i="11"/>
  <c r="L284" i="11"/>
  <c r="L300" i="11"/>
  <c r="L316" i="11"/>
  <c r="L330" i="11"/>
  <c r="L338" i="11"/>
  <c r="L20" i="11"/>
  <c r="L28" i="11"/>
  <c r="L36" i="11"/>
  <c r="L44" i="11"/>
  <c r="L52" i="11"/>
  <c r="L221" i="11"/>
  <c r="L242" i="11"/>
  <c r="L264" i="11"/>
  <c r="L280" i="11"/>
  <c r="L296" i="11"/>
  <c r="L312" i="11"/>
  <c r="L328" i="11"/>
  <c r="L336" i="11"/>
  <c r="L18" i="11"/>
  <c r="L26" i="11"/>
  <c r="L364" i="11" s="1"/>
  <c r="L381" i="11" s="1"/>
  <c r="L210" i="11"/>
  <c r="L269" i="11"/>
  <c r="L285" i="11"/>
  <c r="L301" i="11"/>
  <c r="L317" i="11"/>
  <c r="L335" i="11"/>
  <c r="L17" i="11"/>
  <c r="L25" i="11"/>
  <c r="L33" i="11"/>
  <c r="L41" i="11"/>
  <c r="L197" i="11"/>
  <c r="L260" i="11"/>
  <c r="L276" i="11"/>
  <c r="L292" i="11"/>
  <c r="L308" i="11"/>
  <c r="L324" i="11"/>
  <c r="L334" i="11"/>
  <c r="L342" i="11"/>
  <c r="L24" i="11"/>
  <c r="L32" i="11"/>
  <c r="L40" i="11"/>
  <c r="L48" i="11"/>
  <c r="L267" i="11"/>
  <c r="L299" i="11"/>
  <c r="L341" i="11"/>
  <c r="L272" i="11"/>
  <c r="L304" i="11"/>
  <c r="L332" i="11"/>
  <c r="L22" i="11"/>
  <c r="L34" i="11"/>
  <c r="L245" i="11"/>
  <c r="L277" i="11"/>
  <c r="L309" i="11"/>
  <c r="L339" i="11"/>
  <c r="L259" i="11"/>
  <c r="L291" i="11"/>
  <c r="L323" i="11"/>
  <c r="L337" i="11"/>
  <c r="L27" i="11"/>
  <c r="L29" i="11"/>
  <c r="L31" i="11"/>
  <c r="L51" i="11"/>
  <c r="L55" i="11"/>
  <c r="L63" i="11"/>
  <c r="L71" i="11"/>
  <c r="L79" i="11"/>
  <c r="L87" i="11"/>
  <c r="L95" i="11"/>
  <c r="L103" i="11"/>
  <c r="L111" i="11"/>
  <c r="L119" i="11"/>
  <c r="L213" i="11"/>
  <c r="L256" i="11"/>
  <c r="L288" i="11"/>
  <c r="L320" i="11"/>
  <c r="L340" i="11"/>
  <c r="L35" i="11"/>
  <c r="L261" i="11"/>
  <c r="L293" i="11"/>
  <c r="L325" i="11"/>
  <c r="L331" i="11"/>
  <c r="L21" i="11"/>
  <c r="L37" i="11"/>
  <c r="L39" i="11"/>
  <c r="L47" i="11"/>
  <c r="L50" i="11"/>
  <c r="L53" i="11"/>
  <c r="L60" i="11"/>
  <c r="L68" i="11"/>
  <c r="L76" i="11"/>
  <c r="L84" i="11"/>
  <c r="L92" i="11"/>
  <c r="L100" i="11"/>
  <c r="L108" i="11"/>
  <c r="L116" i="11"/>
  <c r="L124" i="11"/>
  <c r="L132" i="11"/>
  <c r="L140" i="11"/>
  <c r="L148" i="11"/>
  <c r="L156" i="11"/>
  <c r="L164" i="11"/>
  <c r="L275" i="11"/>
  <c r="L307" i="11"/>
  <c r="L329" i="11"/>
  <c r="L19" i="11"/>
  <c r="L30" i="11"/>
  <c r="L59" i="11"/>
  <c r="L67" i="11"/>
  <c r="L75" i="11"/>
  <c r="L83" i="11"/>
  <c r="L91" i="11"/>
  <c r="L43" i="11"/>
  <c r="L46" i="11"/>
  <c r="L49" i="11"/>
  <c r="L69" i="11"/>
  <c r="L80" i="11"/>
  <c r="L82" i="11"/>
  <c r="L106" i="11"/>
  <c r="L109" i="11"/>
  <c r="L112" i="11"/>
  <c r="L136" i="11"/>
  <c r="L149" i="11"/>
  <c r="L153" i="11"/>
  <c r="L166" i="11"/>
  <c r="L23" i="11"/>
  <c r="L62" i="11"/>
  <c r="L73" i="11"/>
  <c r="L93" i="11"/>
  <c r="L123" i="11"/>
  <c r="L127" i="11"/>
  <c r="L131" i="11"/>
  <c r="L144" i="11"/>
  <c r="L157" i="11"/>
  <c r="L333" i="11"/>
  <c r="L64" i="11"/>
  <c r="L66" i="11"/>
  <c r="L86" i="11"/>
  <c r="L97" i="11"/>
  <c r="L114" i="11"/>
  <c r="L117" i="11"/>
  <c r="L120" i="11"/>
  <c r="L135" i="11"/>
  <c r="L139" i="11"/>
  <c r="L152" i="11"/>
  <c r="L165" i="11"/>
  <c r="L57" i="11"/>
  <c r="L77" i="11"/>
  <c r="L88" i="11"/>
  <c r="L90" i="11"/>
  <c r="L99" i="11"/>
  <c r="L102" i="11"/>
  <c r="L105" i="11"/>
  <c r="L126" i="11"/>
  <c r="L130" i="11"/>
  <c r="L143" i="11"/>
  <c r="L147" i="11"/>
  <c r="L70" i="11"/>
  <c r="L81" i="11"/>
  <c r="L122" i="11"/>
  <c r="L134" i="11"/>
  <c r="L138" i="11"/>
  <c r="L151" i="11"/>
  <c r="L155" i="11"/>
  <c r="L315" i="11"/>
  <c r="L38" i="11"/>
  <c r="L61" i="11"/>
  <c r="L72" i="11"/>
  <c r="L74" i="11"/>
  <c r="L94" i="11"/>
  <c r="L107" i="11"/>
  <c r="L110" i="11"/>
  <c r="L113" i="11"/>
  <c r="L125" i="11"/>
  <c r="L129" i="11"/>
  <c r="L142" i="11"/>
  <c r="L146" i="11"/>
  <c r="L283" i="11"/>
  <c r="L42" i="11"/>
  <c r="L45" i="11"/>
  <c r="L54" i="11"/>
  <c r="L65" i="11"/>
  <c r="L85" i="11"/>
  <c r="L96" i="11"/>
  <c r="L98" i="11"/>
  <c r="L101" i="11"/>
  <c r="L104" i="11"/>
  <c r="L133" i="11"/>
  <c r="L137" i="11"/>
  <c r="L150" i="11"/>
  <c r="L154" i="11"/>
  <c r="L56" i="11"/>
  <c r="L145" i="11"/>
  <c r="L162" i="11"/>
  <c r="L121" i="11"/>
  <c r="L58" i="11"/>
  <c r="M548" i="16"/>
  <c r="L89" i="11"/>
  <c r="L115" i="11"/>
  <c r="L128" i="11"/>
  <c r="L158" i="11"/>
  <c r="L161" i="11"/>
  <c r="L78" i="11"/>
  <c r="L118" i="11"/>
  <c r="L159" i="11"/>
  <c r="L163" i="11"/>
  <c r="L248" i="11"/>
  <c r="L141" i="11"/>
  <c r="L160" i="11"/>
  <c r="J143" i="38"/>
  <c r="M606" i="16"/>
  <c r="H54" i="3"/>
  <c r="G54" i="3"/>
  <c r="I118" i="3"/>
  <c r="B54" i="3" s="1"/>
  <c r="L54" i="3"/>
  <c r="K54" i="3"/>
  <c r="J54" i="3"/>
  <c r="I54" i="3"/>
  <c r="N5" i="16"/>
  <c r="M81" i="38"/>
  <c r="M4" i="3"/>
  <c r="M54" i="3" s="1"/>
  <c r="M157" i="38"/>
  <c r="M161" i="3"/>
  <c r="M357" i="11"/>
  <c r="M5" i="11"/>
  <c r="M5" i="38"/>
  <c r="M181" i="11"/>
  <c r="M5" i="27"/>
  <c r="M5" i="26"/>
  <c r="M98" i="28"/>
  <c r="M159" i="26"/>
  <c r="M30" i="24"/>
  <c r="M5" i="14"/>
  <c r="M74" i="14"/>
  <c r="M228" i="16"/>
  <c r="M124" i="28"/>
  <c r="M49" i="27"/>
  <c r="M71" i="28"/>
  <c r="M259" i="16"/>
  <c r="M219" i="1"/>
  <c r="M4" i="24"/>
  <c r="M94" i="1"/>
  <c r="M130" i="1"/>
  <c r="M314" i="1"/>
  <c r="M5" i="28"/>
  <c r="M51" i="26"/>
  <c r="M5" i="1"/>
  <c r="M366" i="16"/>
  <c r="L4" i="49" s="1"/>
  <c r="L44" i="49" s="1"/>
  <c r="I58" i="28"/>
  <c r="I116" i="28" s="1"/>
  <c r="I10" i="38"/>
  <c r="I14" i="38" s="1"/>
  <c r="P265" i="16"/>
  <c r="O275" i="16"/>
  <c r="P276" i="16"/>
  <c r="P264" i="16"/>
  <c r="P279" i="16"/>
  <c r="P267" i="16"/>
  <c r="O277" i="16"/>
  <c r="O280" i="16"/>
  <c r="P270" i="16"/>
  <c r="O278" i="16"/>
  <c r="P268" i="16"/>
  <c r="I433" i="1"/>
  <c r="F107" i="16"/>
  <c r="I382" i="11"/>
  <c r="H151" i="26"/>
  <c r="I98" i="26"/>
  <c r="I179" i="26"/>
  <c r="I11" i="26" s="1"/>
  <c r="F232" i="16"/>
  <c r="F220" i="16"/>
  <c r="F35" i="16"/>
  <c r="I163" i="38"/>
  <c r="E26" i="16"/>
  <c r="E220" i="16" s="1"/>
  <c r="I176" i="38"/>
  <c r="I190" i="11"/>
  <c r="I345" i="11" s="1"/>
  <c r="I347" i="11" s="1"/>
  <c r="J183" i="11" s="1"/>
  <c r="J187" i="11" s="1"/>
  <c r="I145" i="26"/>
  <c r="H170" i="26"/>
  <c r="H10" i="26" s="1"/>
  <c r="G170" i="26"/>
  <c r="G10" i="26" s="1"/>
  <c r="G230" i="1"/>
  <c r="G259" i="1" s="1"/>
  <c r="F14" i="26"/>
  <c r="F199" i="26"/>
  <c r="K162" i="38" l="1"/>
  <c r="N12" i="49"/>
  <c r="N9" i="49"/>
  <c r="N48" i="49" s="1"/>
  <c r="N11" i="49"/>
  <c r="N50" i="49" s="1"/>
  <c r="N13" i="49"/>
  <c r="N21" i="49"/>
  <c r="N60" i="49" s="1"/>
  <c r="N10" i="49"/>
  <c r="N49" i="49" s="1"/>
  <c r="N22" i="49"/>
  <c r="N61" i="49" s="1"/>
  <c r="N14" i="49"/>
  <c r="N53" i="49" s="1"/>
  <c r="N17" i="49"/>
  <c r="N56" i="49" s="1"/>
  <c r="N19" i="49"/>
  <c r="N16" i="49"/>
  <c r="N55" i="49" s="1"/>
  <c r="N654" i="1"/>
  <c r="N47" i="49"/>
  <c r="N51" i="49"/>
  <c r="N59" i="49"/>
  <c r="P77" i="26"/>
  <c r="N57" i="49"/>
  <c r="J56" i="28"/>
  <c r="I114" i="28"/>
  <c r="I168" i="16" s="1"/>
  <c r="I169" i="16" s="1"/>
  <c r="P17" i="14"/>
  <c r="O62" i="14"/>
  <c r="O76" i="27" s="1"/>
  <c r="O32" i="14"/>
  <c r="O61" i="27"/>
  <c r="N18" i="27"/>
  <c r="P11" i="14"/>
  <c r="O26" i="14"/>
  <c r="O55" i="27"/>
  <c r="O12" i="27" s="1"/>
  <c r="M35" i="14"/>
  <c r="E10" i="16"/>
  <c r="E12" i="16" s="1"/>
  <c r="E28" i="16" s="1"/>
  <c r="F34" i="16" s="1"/>
  <c r="E84" i="16"/>
  <c r="E100" i="16" s="1"/>
  <c r="L79" i="27"/>
  <c r="L21" i="27"/>
  <c r="L8" i="24" s="1"/>
  <c r="P66" i="26"/>
  <c r="P55" i="26"/>
  <c r="O135" i="26"/>
  <c r="O124" i="26"/>
  <c r="N222" i="26"/>
  <c r="N228" i="26" s="1"/>
  <c r="M65" i="14"/>
  <c r="M50" i="14" s="1"/>
  <c r="M77" i="27"/>
  <c r="M79" i="27" s="1"/>
  <c r="M17" i="27"/>
  <c r="M19" i="27" s="1"/>
  <c r="O61" i="14"/>
  <c r="O31" i="14"/>
  <c r="P16" i="14"/>
  <c r="O60" i="27"/>
  <c r="M64" i="27"/>
  <c r="N63" i="14"/>
  <c r="N48" i="14" s="1"/>
  <c r="N75" i="27"/>
  <c r="N33" i="14"/>
  <c r="N16" i="27"/>
  <c r="N62" i="27"/>
  <c r="P15" i="14"/>
  <c r="P60" i="14" s="1"/>
  <c r="P74" i="27" s="1"/>
  <c r="O30" i="14"/>
  <c r="O59" i="27"/>
  <c r="O18" i="14"/>
  <c r="H11" i="16"/>
  <c r="M20" i="26"/>
  <c r="M10" i="27"/>
  <c r="M13" i="27" s="1"/>
  <c r="N656" i="1"/>
  <c r="N657" i="1"/>
  <c r="P88" i="26"/>
  <c r="O113" i="26"/>
  <c r="M19" i="26"/>
  <c r="G11" i="16"/>
  <c r="G41" i="27"/>
  <c r="G155" i="16" s="1"/>
  <c r="J41" i="26"/>
  <c r="J83" i="16" s="1"/>
  <c r="O606" i="1"/>
  <c r="N84" i="1"/>
  <c r="N303" i="1"/>
  <c r="N297" i="1"/>
  <c r="O647" i="1"/>
  <c r="O648" i="1" s="1"/>
  <c r="O24" i="1"/>
  <c r="P23" i="1"/>
  <c r="O83" i="1"/>
  <c r="O43" i="1"/>
  <c r="O44" i="1" s="1"/>
  <c r="N46" i="1"/>
  <c r="M304" i="1"/>
  <c r="M242" i="26"/>
  <c r="M243" i="26" s="1"/>
  <c r="J190" i="11"/>
  <c r="J345" i="11" s="1"/>
  <c r="J347" i="11" s="1"/>
  <c r="K183" i="11" s="1"/>
  <c r="K187" i="11" s="1"/>
  <c r="O612" i="1"/>
  <c r="O611" i="1"/>
  <c r="O617" i="1"/>
  <c r="O615" i="1"/>
  <c r="P17" i="1"/>
  <c r="P20" i="1" s="1"/>
  <c r="O609" i="1"/>
  <c r="O616" i="1"/>
  <c r="O37" i="1"/>
  <c r="O40" i="1" s="1"/>
  <c r="O614" i="1"/>
  <c r="O656" i="1" s="1"/>
  <c r="O613" i="1"/>
  <c r="O642" i="1"/>
  <c r="N26" i="1"/>
  <c r="N653" i="1"/>
  <c r="O630" i="1"/>
  <c r="O33" i="1"/>
  <c r="O34" i="1" s="1"/>
  <c r="O582" i="1"/>
  <c r="O588" i="1"/>
  <c r="O587" i="1"/>
  <c r="O584" i="1"/>
  <c r="O590" i="1"/>
  <c r="O586" i="1"/>
  <c r="O585" i="1"/>
  <c r="O589" i="1"/>
  <c r="P12" i="1"/>
  <c r="O583" i="1"/>
  <c r="O13" i="1"/>
  <c r="N231" i="26"/>
  <c r="N237" i="26" s="1"/>
  <c r="O286" i="1"/>
  <c r="O226" i="26" s="1"/>
  <c r="O284" i="1"/>
  <c r="O224" i="26" s="1"/>
  <c r="O287" i="1"/>
  <c r="O227" i="26" s="1"/>
  <c r="O285" i="1"/>
  <c r="O225" i="26" s="1"/>
  <c r="O283" i="1"/>
  <c r="O223" i="26" s="1"/>
  <c r="O282" i="1"/>
  <c r="L618" i="1"/>
  <c r="L644" i="1" s="1"/>
  <c r="L652" i="1"/>
  <c r="L660" i="1" s="1"/>
  <c r="O296" i="1"/>
  <c r="O236" i="26" s="1"/>
  <c r="O293" i="1"/>
  <c r="O233" i="26" s="1"/>
  <c r="O295" i="1"/>
  <c r="O235" i="26" s="1"/>
  <c r="O292" i="1"/>
  <c r="O232" i="26" s="1"/>
  <c r="O291" i="1"/>
  <c r="O294" i="1"/>
  <c r="O234" i="26" s="1"/>
  <c r="N503" i="1"/>
  <c r="M511" i="1"/>
  <c r="M610" i="1"/>
  <c r="N288" i="1"/>
  <c r="P603" i="1"/>
  <c r="P601" i="1"/>
  <c r="P602" i="1"/>
  <c r="P36" i="1"/>
  <c r="P600" i="1"/>
  <c r="P597" i="1"/>
  <c r="P604" i="1"/>
  <c r="P599" i="1"/>
  <c r="P598" i="1"/>
  <c r="P605" i="1"/>
  <c r="P629" i="1"/>
  <c r="P628" i="1"/>
  <c r="P627" i="1"/>
  <c r="P621" i="1"/>
  <c r="P626" i="1"/>
  <c r="P625" i="1"/>
  <c r="P78" i="1"/>
  <c r="P622" i="1"/>
  <c r="P38" i="1"/>
  <c r="P624" i="1"/>
  <c r="P623" i="1"/>
  <c r="P39" i="1"/>
  <c r="P633" i="1"/>
  <c r="P79" i="1"/>
  <c r="P641" i="1"/>
  <c r="P639" i="1"/>
  <c r="P640" i="1"/>
  <c r="P638" i="1"/>
  <c r="P634" i="1"/>
  <c r="P637" i="1"/>
  <c r="P636" i="1"/>
  <c r="P635" i="1"/>
  <c r="N591" i="1"/>
  <c r="J145" i="38"/>
  <c r="J147" i="38" s="1"/>
  <c r="K83" i="38" s="1"/>
  <c r="K87" i="38" s="1"/>
  <c r="K90" i="38" s="1"/>
  <c r="N11" i="27"/>
  <c r="N56" i="27"/>
  <c r="P10" i="14"/>
  <c r="O25" i="14"/>
  <c r="O54" i="27"/>
  <c r="O55" i="14"/>
  <c r="O69" i="27" s="1"/>
  <c r="M42" i="14"/>
  <c r="N27" i="14"/>
  <c r="N57" i="14"/>
  <c r="N68" i="27"/>
  <c r="N20" i="14"/>
  <c r="O12" i="14"/>
  <c r="O24" i="14"/>
  <c r="P9" i="14"/>
  <c r="O53" i="27"/>
  <c r="O54" i="14"/>
  <c r="M567" i="1"/>
  <c r="M593" i="1" s="1"/>
  <c r="M651" i="1"/>
  <c r="P562" i="1"/>
  <c r="O451" i="1"/>
  <c r="N460" i="1"/>
  <c r="N558" i="1"/>
  <c r="P440" i="1"/>
  <c r="P547" i="1" s="1"/>
  <c r="O547" i="1"/>
  <c r="O555" i="1" s="1"/>
  <c r="P546" i="1"/>
  <c r="O448" i="1"/>
  <c r="N555" i="1"/>
  <c r="P472" i="1"/>
  <c r="P572" i="1"/>
  <c r="P579" i="1" s="1"/>
  <c r="O579" i="1"/>
  <c r="M238" i="1"/>
  <c r="M178" i="26" s="1"/>
  <c r="M237" i="1"/>
  <c r="M177" i="26" s="1"/>
  <c r="M236" i="1"/>
  <c r="M176" i="26" s="1"/>
  <c r="M235" i="1"/>
  <c r="M175" i="26" s="1"/>
  <c r="M233" i="1"/>
  <c r="M234" i="1"/>
  <c r="M174" i="26" s="1"/>
  <c r="O51" i="1"/>
  <c r="N71" i="1"/>
  <c r="L239" i="1"/>
  <c r="L173" i="26"/>
  <c r="L179" i="26" s="1"/>
  <c r="L11" i="26" s="1"/>
  <c r="O50" i="1"/>
  <c r="N70" i="1"/>
  <c r="K259" i="1"/>
  <c r="L230" i="1"/>
  <c r="L163" i="26"/>
  <c r="L170" i="26" s="1"/>
  <c r="L10" i="26" s="1"/>
  <c r="M227" i="1"/>
  <c r="M167" i="26" s="1"/>
  <c r="M225" i="1"/>
  <c r="M165" i="26" s="1"/>
  <c r="M223" i="1"/>
  <c r="M229" i="1"/>
  <c r="M169" i="26" s="1"/>
  <c r="M224" i="1"/>
  <c r="M164" i="26" s="1"/>
  <c r="M228" i="1"/>
  <c r="M168" i="26" s="1"/>
  <c r="M226" i="1"/>
  <c r="M166" i="26" s="1"/>
  <c r="M243" i="1"/>
  <c r="M183" i="26" s="1"/>
  <c r="M244" i="1"/>
  <c r="M184" i="26" s="1"/>
  <c r="M247" i="1"/>
  <c r="M187" i="26" s="1"/>
  <c r="M242" i="1"/>
  <c r="M246" i="1"/>
  <c r="M186" i="26" s="1"/>
  <c r="M245" i="1"/>
  <c r="M185" i="26" s="1"/>
  <c r="M74" i="1"/>
  <c r="L54" i="1"/>
  <c r="L248" i="1"/>
  <c r="L182" i="26"/>
  <c r="L188" i="26" s="1"/>
  <c r="K14" i="26"/>
  <c r="K199" i="26"/>
  <c r="O63" i="26"/>
  <c r="N98" i="26"/>
  <c r="N110" i="26"/>
  <c r="O85" i="26"/>
  <c r="N143" i="26"/>
  <c r="O74" i="26"/>
  <c r="N132" i="26"/>
  <c r="M145" i="26"/>
  <c r="M151" i="26" s="1"/>
  <c r="N121" i="26"/>
  <c r="O96" i="26"/>
  <c r="O13" i="26" s="1"/>
  <c r="P294" i="16"/>
  <c r="O18" i="49" s="1"/>
  <c r="P60" i="26"/>
  <c r="P71" i="26"/>
  <c r="P82" i="26"/>
  <c r="P93" i="26"/>
  <c r="P67" i="26"/>
  <c r="P78" i="26"/>
  <c r="P89" i="26"/>
  <c r="P56" i="26"/>
  <c r="O129" i="26"/>
  <c r="O140" i="26"/>
  <c r="P148" i="26"/>
  <c r="P149" i="26" s="1"/>
  <c r="O107" i="26"/>
  <c r="O118" i="26"/>
  <c r="P285" i="16"/>
  <c r="O12" i="49" s="1"/>
  <c r="N52" i="49"/>
  <c r="P62" i="26"/>
  <c r="P73" i="26"/>
  <c r="P84" i="26"/>
  <c r="P95" i="26"/>
  <c r="P105" i="26"/>
  <c r="P116" i="26"/>
  <c r="P127" i="26"/>
  <c r="P138" i="26"/>
  <c r="O103" i="26"/>
  <c r="O114" i="26"/>
  <c r="O125" i="26"/>
  <c r="O136" i="26"/>
  <c r="O109" i="26"/>
  <c r="O120" i="26"/>
  <c r="O131" i="26"/>
  <c r="O142" i="26"/>
  <c r="O104" i="26"/>
  <c r="O115" i="26"/>
  <c r="O126" i="26"/>
  <c r="O137" i="26"/>
  <c r="O117" i="26"/>
  <c r="O128" i="26"/>
  <c r="O139" i="26"/>
  <c r="O106" i="26"/>
  <c r="P79" i="26"/>
  <c r="P90" i="26"/>
  <c r="P57" i="26"/>
  <c r="P68" i="26"/>
  <c r="N58" i="49"/>
  <c r="P344" i="16"/>
  <c r="P191" i="26"/>
  <c r="P197" i="26" s="1"/>
  <c r="P302" i="16"/>
  <c r="O336" i="16"/>
  <c r="P59" i="26"/>
  <c r="P70" i="26"/>
  <c r="P81" i="26"/>
  <c r="P92" i="26"/>
  <c r="P130" i="26"/>
  <c r="P141" i="26"/>
  <c r="P108" i="26"/>
  <c r="P119" i="26"/>
  <c r="P102" i="26"/>
  <c r="P113" i="26"/>
  <c r="P124" i="26"/>
  <c r="P135" i="26"/>
  <c r="J10" i="38"/>
  <c r="J14" i="38" s="1"/>
  <c r="J69" i="38" s="1"/>
  <c r="J58" i="28"/>
  <c r="J116" i="28" s="1"/>
  <c r="K67" i="38"/>
  <c r="K175" i="38"/>
  <c r="K176" i="38" s="1"/>
  <c r="K163" i="38"/>
  <c r="K143" i="38"/>
  <c r="K365" i="11"/>
  <c r="K380" i="11"/>
  <c r="K382" i="11" s="1"/>
  <c r="O5" i="16"/>
  <c r="N161" i="3"/>
  <c r="N81" i="38"/>
  <c r="N4" i="3"/>
  <c r="N157" i="38"/>
  <c r="N357" i="11"/>
  <c r="N5" i="11"/>
  <c r="N5" i="38"/>
  <c r="N181" i="11"/>
  <c r="N124" i="28"/>
  <c r="N49" i="27"/>
  <c r="N5" i="26"/>
  <c r="N51" i="26"/>
  <c r="N5" i="1"/>
  <c r="N5" i="27"/>
  <c r="N98" i="28"/>
  <c r="N159" i="26"/>
  <c r="N30" i="24"/>
  <c r="N5" i="14"/>
  <c r="N74" i="14"/>
  <c r="N228" i="16"/>
  <c r="N5" i="28"/>
  <c r="N71" i="28"/>
  <c r="N259" i="16"/>
  <c r="N219" i="1"/>
  <c r="N366" i="16"/>
  <c r="M4" i="49" s="1"/>
  <c r="M44" i="49" s="1"/>
  <c r="N4" i="24"/>
  <c r="N94" i="1"/>
  <c r="N130" i="1"/>
  <c r="N314" i="1"/>
  <c r="N606" i="16"/>
  <c r="G55" i="3"/>
  <c r="M55" i="3"/>
  <c r="L55" i="3"/>
  <c r="K55" i="3"/>
  <c r="J118" i="3"/>
  <c r="B55" i="3" s="1"/>
  <c r="J55" i="3"/>
  <c r="I55" i="3"/>
  <c r="H55" i="3"/>
  <c r="L94" i="38"/>
  <c r="L102" i="38"/>
  <c r="L110" i="38"/>
  <c r="L118" i="38"/>
  <c r="L126" i="38"/>
  <c r="L134" i="38"/>
  <c r="L23" i="38"/>
  <c r="L31" i="38"/>
  <c r="L93" i="38"/>
  <c r="L101" i="38"/>
  <c r="L109" i="38"/>
  <c r="L117" i="38"/>
  <c r="L125" i="38"/>
  <c r="L133" i="38"/>
  <c r="L141" i="38"/>
  <c r="L22" i="38"/>
  <c r="L30" i="38"/>
  <c r="L38" i="38"/>
  <c r="L100" i="38"/>
  <c r="L108" i="38"/>
  <c r="L116" i="38"/>
  <c r="L124" i="38"/>
  <c r="L132" i="38"/>
  <c r="L140" i="38"/>
  <c r="L21" i="38"/>
  <c r="L29" i="38"/>
  <c r="L37" i="38"/>
  <c r="L99" i="38"/>
  <c r="L107" i="38"/>
  <c r="L115" i="38"/>
  <c r="L123" i="38"/>
  <c r="L131" i="38"/>
  <c r="L139" i="38"/>
  <c r="L20" i="38"/>
  <c r="L28" i="38"/>
  <c r="L36" i="38"/>
  <c r="L98" i="38"/>
  <c r="L106" i="38"/>
  <c r="L114" i="38"/>
  <c r="L122" i="38"/>
  <c r="L130" i="38"/>
  <c r="L138" i="38"/>
  <c r="L19" i="38"/>
  <c r="L27" i="38"/>
  <c r="L35" i="38"/>
  <c r="L97" i="38"/>
  <c r="L105" i="38"/>
  <c r="L113" i="38"/>
  <c r="L121" i="38"/>
  <c r="L129" i="38"/>
  <c r="L137" i="38"/>
  <c r="L18" i="38"/>
  <c r="L26" i="38"/>
  <c r="L34" i="38"/>
  <c r="L96" i="38"/>
  <c r="L104" i="38"/>
  <c r="L112" i="38"/>
  <c r="L120" i="38"/>
  <c r="L128" i="38"/>
  <c r="L136" i="38"/>
  <c r="L17" i="38"/>
  <c r="L25" i="38"/>
  <c r="L33" i="38"/>
  <c r="L95" i="38"/>
  <c r="L103" i="38"/>
  <c r="L111" i="38"/>
  <c r="L119" i="38"/>
  <c r="L127" i="38"/>
  <c r="L135" i="38"/>
  <c r="L24" i="38"/>
  <c r="L32" i="38"/>
  <c r="L43" i="38"/>
  <c r="L51" i="38"/>
  <c r="L59" i="38"/>
  <c r="L42" i="38"/>
  <c r="L50" i="38"/>
  <c r="L58" i="38"/>
  <c r="L66" i="38"/>
  <c r="L41" i="38"/>
  <c r="L49" i="38"/>
  <c r="L57" i="38"/>
  <c r="L65" i="38"/>
  <c r="L40" i="38"/>
  <c r="L48" i="38"/>
  <c r="L56" i="38"/>
  <c r="L64" i="38"/>
  <c r="L39" i="38"/>
  <c r="L47" i="38"/>
  <c r="L55" i="38"/>
  <c r="L63" i="38"/>
  <c r="L46" i="38"/>
  <c r="L54" i="38"/>
  <c r="L62" i="38"/>
  <c r="L45" i="38"/>
  <c r="L53" i="38"/>
  <c r="L61" i="38"/>
  <c r="L60" i="38"/>
  <c r="L52" i="38"/>
  <c r="L44" i="38"/>
  <c r="M53" i="3"/>
  <c r="L363" i="11"/>
  <c r="L167" i="11"/>
  <c r="L343" i="11"/>
  <c r="O397" i="16"/>
  <c r="M197" i="11"/>
  <c r="M205" i="11"/>
  <c r="M213" i="11"/>
  <c r="M221" i="11"/>
  <c r="M229" i="11"/>
  <c r="M237" i="11"/>
  <c r="M245" i="11"/>
  <c r="M253" i="11"/>
  <c r="M196" i="11"/>
  <c r="M204" i="11"/>
  <c r="M212" i="11"/>
  <c r="M220" i="11"/>
  <c r="M228" i="11"/>
  <c r="M236" i="11"/>
  <c r="M244" i="11"/>
  <c r="M252" i="11"/>
  <c r="M195" i="11"/>
  <c r="M194" i="11"/>
  <c r="M202" i="11"/>
  <c r="M210" i="11"/>
  <c r="M218" i="11"/>
  <c r="M226" i="11"/>
  <c r="M234" i="11"/>
  <c r="M242" i="11"/>
  <c r="M250" i="11"/>
  <c r="M193" i="11"/>
  <c r="M201" i="11"/>
  <c r="M209" i="11"/>
  <c r="M217" i="11"/>
  <c r="M225" i="11"/>
  <c r="M233" i="11"/>
  <c r="M241" i="11"/>
  <c r="M200" i="11"/>
  <c r="M208" i="11"/>
  <c r="M216" i="11"/>
  <c r="M224" i="11"/>
  <c r="M232" i="11"/>
  <c r="M240" i="11"/>
  <c r="M199" i="11"/>
  <c r="M207" i="11"/>
  <c r="M215" i="11"/>
  <c r="M223" i="11"/>
  <c r="M231" i="11"/>
  <c r="M239" i="11"/>
  <c r="M247" i="11"/>
  <c r="M198" i="11"/>
  <c r="M227" i="11"/>
  <c r="M248" i="11"/>
  <c r="M259" i="11"/>
  <c r="M267" i="11"/>
  <c r="M275" i="11"/>
  <c r="M283" i="11"/>
  <c r="M291" i="11"/>
  <c r="M299" i="11"/>
  <c r="M307" i="11"/>
  <c r="M315" i="11"/>
  <c r="M323" i="11"/>
  <c r="M214" i="11"/>
  <c r="M246" i="11"/>
  <c r="M258" i="11"/>
  <c r="M266" i="11"/>
  <c r="M274" i="11"/>
  <c r="M282" i="11"/>
  <c r="M290" i="11"/>
  <c r="M298" i="11"/>
  <c r="M306" i="11"/>
  <c r="M314" i="11"/>
  <c r="M322" i="11"/>
  <c r="M206" i="11"/>
  <c r="M238" i="11"/>
  <c r="M249" i="11"/>
  <c r="M256" i="11"/>
  <c r="M264" i="11"/>
  <c r="M272" i="11"/>
  <c r="M280" i="11"/>
  <c r="M288" i="11"/>
  <c r="M296" i="11"/>
  <c r="M304" i="11"/>
  <c r="M312" i="11"/>
  <c r="M320" i="11"/>
  <c r="M211" i="11"/>
  <c r="M255" i="11"/>
  <c r="M263" i="11"/>
  <c r="M271" i="11"/>
  <c r="M279" i="11"/>
  <c r="M287" i="11"/>
  <c r="M295" i="11"/>
  <c r="M303" i="11"/>
  <c r="M311" i="11"/>
  <c r="M319" i="11"/>
  <c r="M327" i="11"/>
  <c r="M203" i="11"/>
  <c r="M230" i="11"/>
  <c r="M261" i="11"/>
  <c r="M277" i="11"/>
  <c r="M293" i="11"/>
  <c r="M309" i="11"/>
  <c r="M325" i="11"/>
  <c r="M331" i="11"/>
  <c r="M339" i="11"/>
  <c r="M21" i="11"/>
  <c r="M29" i="11"/>
  <c r="M37" i="11"/>
  <c r="M45" i="11"/>
  <c r="M53" i="11"/>
  <c r="M251" i="11"/>
  <c r="M257" i="11"/>
  <c r="M273" i="11"/>
  <c r="M289" i="11"/>
  <c r="M305" i="11"/>
  <c r="M321" i="11"/>
  <c r="M329" i="11"/>
  <c r="M337" i="11"/>
  <c r="M19" i="11"/>
  <c r="M27" i="11"/>
  <c r="M222" i="11"/>
  <c r="M262" i="11"/>
  <c r="M278" i="11"/>
  <c r="M294" i="11"/>
  <c r="M310" i="11"/>
  <c r="M326" i="11"/>
  <c r="M328" i="11"/>
  <c r="M336" i="11"/>
  <c r="M18" i="11"/>
  <c r="M26" i="11"/>
  <c r="M364" i="11" s="1"/>
  <c r="M381" i="11" s="1"/>
  <c r="M34" i="11"/>
  <c r="M235" i="11"/>
  <c r="M243" i="11"/>
  <c r="M269" i="11"/>
  <c r="M285" i="11"/>
  <c r="M301" i="11"/>
  <c r="M317" i="11"/>
  <c r="M335" i="11"/>
  <c r="M17" i="11"/>
  <c r="M25" i="11"/>
  <c r="M33" i="11"/>
  <c r="M41" i="11"/>
  <c r="M49" i="11"/>
  <c r="M276" i="11"/>
  <c r="M308" i="11"/>
  <c r="M334" i="11"/>
  <c r="M24" i="11"/>
  <c r="M30" i="11"/>
  <c r="M32" i="11"/>
  <c r="M281" i="11"/>
  <c r="M313" i="11"/>
  <c r="M341" i="11"/>
  <c r="M254" i="11"/>
  <c r="M286" i="11"/>
  <c r="M318" i="11"/>
  <c r="M332" i="11"/>
  <c r="M22" i="11"/>
  <c r="M268" i="11"/>
  <c r="M300" i="11"/>
  <c r="M330" i="11"/>
  <c r="M20" i="11"/>
  <c r="M38" i="11"/>
  <c r="M40" i="11"/>
  <c r="M56" i="11"/>
  <c r="M64" i="11"/>
  <c r="M72" i="11"/>
  <c r="M80" i="11"/>
  <c r="M88" i="11"/>
  <c r="M96" i="11"/>
  <c r="M104" i="11"/>
  <c r="M112" i="11"/>
  <c r="M120" i="11"/>
  <c r="M265" i="11"/>
  <c r="M297" i="11"/>
  <c r="M333" i="11"/>
  <c r="M23" i="11"/>
  <c r="M270" i="11"/>
  <c r="M302" i="11"/>
  <c r="M340" i="11"/>
  <c r="M35" i="11"/>
  <c r="M61" i="11"/>
  <c r="M69" i="11"/>
  <c r="M77" i="11"/>
  <c r="M85" i="11"/>
  <c r="M93" i="11"/>
  <c r="M101" i="11"/>
  <c r="M109" i="11"/>
  <c r="M117" i="11"/>
  <c r="M125" i="11"/>
  <c r="M133" i="11"/>
  <c r="M141" i="11"/>
  <c r="M149" i="11"/>
  <c r="M157" i="11"/>
  <c r="M165" i="11"/>
  <c r="M219" i="11"/>
  <c r="M284" i="11"/>
  <c r="M316" i="11"/>
  <c r="M338" i="11"/>
  <c r="M28" i="11"/>
  <c r="M39" i="11"/>
  <c r="M44" i="11"/>
  <c r="M47" i="11"/>
  <c r="M50" i="11"/>
  <c r="M60" i="11"/>
  <c r="M68" i="11"/>
  <c r="M76" i="11"/>
  <c r="M84" i="11"/>
  <c r="M92" i="11"/>
  <c r="M292" i="11"/>
  <c r="M52" i="11"/>
  <c r="M58" i="11"/>
  <c r="M78" i="11"/>
  <c r="M89" i="11"/>
  <c r="M91" i="11"/>
  <c r="M115" i="11"/>
  <c r="M118" i="11"/>
  <c r="M121" i="11"/>
  <c r="M128" i="11"/>
  <c r="M132" i="11"/>
  <c r="M145" i="11"/>
  <c r="M158" i="11"/>
  <c r="M162" i="11"/>
  <c r="M260" i="11"/>
  <c r="M43" i="11"/>
  <c r="M46" i="11"/>
  <c r="M71" i="11"/>
  <c r="M82" i="11"/>
  <c r="M100" i="11"/>
  <c r="M103" i="11"/>
  <c r="M106" i="11"/>
  <c r="M136" i="11"/>
  <c r="M140" i="11"/>
  <c r="M153" i="11"/>
  <c r="M62" i="11"/>
  <c r="M73" i="11"/>
  <c r="M75" i="11"/>
  <c r="M95" i="11"/>
  <c r="M123" i="11"/>
  <c r="M127" i="11"/>
  <c r="M131" i="11"/>
  <c r="M144" i="11"/>
  <c r="M148" i="11"/>
  <c r="M161" i="11"/>
  <c r="M36" i="11"/>
  <c r="M55" i="11"/>
  <c r="M66" i="11"/>
  <c r="M86" i="11"/>
  <c r="M97" i="11"/>
  <c r="M108" i="11"/>
  <c r="M111" i="11"/>
  <c r="M114" i="11"/>
  <c r="M135" i="11"/>
  <c r="M139" i="11"/>
  <c r="M152" i="11"/>
  <c r="M156" i="11"/>
  <c r="M57" i="11"/>
  <c r="M59" i="11"/>
  <c r="M79" i="11"/>
  <c r="M90" i="11"/>
  <c r="M99" i="11"/>
  <c r="M102" i="11"/>
  <c r="M105" i="11"/>
  <c r="M126" i="11"/>
  <c r="M130" i="11"/>
  <c r="M143" i="11"/>
  <c r="M147" i="11"/>
  <c r="M70" i="11"/>
  <c r="M81" i="11"/>
  <c r="M83" i="11"/>
  <c r="M116" i="11"/>
  <c r="M119" i="11"/>
  <c r="M122" i="11"/>
  <c r="M134" i="11"/>
  <c r="M138" i="11"/>
  <c r="M342" i="11"/>
  <c r="M31" i="11"/>
  <c r="M48" i="11"/>
  <c r="M51" i="11"/>
  <c r="M63" i="11"/>
  <c r="M74" i="11"/>
  <c r="M94" i="11"/>
  <c r="M107" i="11"/>
  <c r="M110" i="11"/>
  <c r="M113" i="11"/>
  <c r="M129" i="11"/>
  <c r="M142" i="11"/>
  <c r="M146" i="11"/>
  <c r="M159" i="11"/>
  <c r="M324" i="11"/>
  <c r="M54" i="11"/>
  <c r="M98" i="11"/>
  <c r="M150" i="11"/>
  <c r="M160" i="11"/>
  <c r="M124" i="11"/>
  <c r="M151" i="11"/>
  <c r="M87" i="11"/>
  <c r="M164" i="11"/>
  <c r="M67" i="11"/>
  <c r="M137" i="11"/>
  <c r="N548" i="16"/>
  <c r="M155" i="11"/>
  <c r="M42" i="11"/>
  <c r="M166" i="11"/>
  <c r="M65" i="11"/>
  <c r="M154" i="11"/>
  <c r="M163" i="11"/>
  <c r="K10" i="11"/>
  <c r="K14" i="11" s="1"/>
  <c r="K40" i="28"/>
  <c r="K89" i="28" s="1"/>
  <c r="P277" i="16"/>
  <c r="P280" i="16"/>
  <c r="P278" i="16"/>
  <c r="P275" i="16"/>
  <c r="I69" i="38"/>
  <c r="I71" i="38" s="1"/>
  <c r="J7" i="38" s="1"/>
  <c r="I151" i="26"/>
  <c r="F244" i="16"/>
  <c r="F251" i="16" s="1"/>
  <c r="E251" i="16"/>
  <c r="H230" i="1"/>
  <c r="H259" i="1" s="1"/>
  <c r="G132" i="3"/>
  <c r="I170" i="26"/>
  <c r="I10" i="26" s="1"/>
  <c r="I230" i="1"/>
  <c r="I259" i="1" s="1"/>
  <c r="G199" i="26"/>
  <c r="H199" i="26"/>
  <c r="E132" i="3"/>
  <c r="F132" i="3"/>
  <c r="G126" i="3"/>
  <c r="E126" i="3"/>
  <c r="F126" i="3"/>
  <c r="O11" i="49" l="1"/>
  <c r="O22" i="49"/>
  <c r="O61" i="49" s="1"/>
  <c r="O21" i="49"/>
  <c r="O60" i="49" s="1"/>
  <c r="O8" i="49"/>
  <c r="O47" i="49" s="1"/>
  <c r="O19" i="49"/>
  <c r="O58" i="49" s="1"/>
  <c r="O13" i="49"/>
  <c r="O52" i="49" s="1"/>
  <c r="O9" i="49"/>
  <c r="O16" i="49"/>
  <c r="O55" i="49" s="1"/>
  <c r="O10" i="49"/>
  <c r="O49" i="49" s="1"/>
  <c r="O20" i="49"/>
  <c r="O59" i="49" s="1"/>
  <c r="O14" i="49"/>
  <c r="O53" i="49" s="1"/>
  <c r="O17" i="49"/>
  <c r="O56" i="49" s="1"/>
  <c r="E231" i="16"/>
  <c r="E243" i="16" s="1"/>
  <c r="O48" i="49"/>
  <c r="O51" i="49"/>
  <c r="O57" i="49"/>
  <c r="J114" i="28"/>
  <c r="J168" i="16" s="1"/>
  <c r="J169" i="16" s="1"/>
  <c r="K56" i="28"/>
  <c r="E219" i="16"/>
  <c r="P26" i="14"/>
  <c r="P55" i="27"/>
  <c r="P12" i="27" s="1"/>
  <c r="E41" i="16"/>
  <c r="E42" i="16" s="1"/>
  <c r="E44" i="16" s="1"/>
  <c r="O18" i="27"/>
  <c r="P32" i="14"/>
  <c r="P62" i="14"/>
  <c r="P76" i="27" s="1"/>
  <c r="P61" i="27"/>
  <c r="O222" i="26"/>
  <c r="O228" i="26" s="1"/>
  <c r="O655" i="1"/>
  <c r="O658" i="1"/>
  <c r="O659" i="1"/>
  <c r="O654" i="1"/>
  <c r="O50" i="49"/>
  <c r="O653" i="1"/>
  <c r="N35" i="14"/>
  <c r="N64" i="27"/>
  <c r="M21" i="27"/>
  <c r="M8" i="24" s="1"/>
  <c r="P61" i="14"/>
  <c r="P31" i="14"/>
  <c r="P60" i="27"/>
  <c r="O63" i="14"/>
  <c r="O48" i="14" s="1"/>
  <c r="O75" i="27"/>
  <c r="O77" i="27" s="1"/>
  <c r="O33" i="14"/>
  <c r="N65" i="14"/>
  <c r="N50" i="14" s="1"/>
  <c r="N77" i="27"/>
  <c r="N17" i="27"/>
  <c r="N19" i="27" s="1"/>
  <c r="O16" i="27"/>
  <c r="O62" i="27"/>
  <c r="P30" i="14"/>
  <c r="P59" i="27"/>
  <c r="P18" i="14"/>
  <c r="O56" i="27"/>
  <c r="O657" i="1"/>
  <c r="N20" i="26"/>
  <c r="G157" i="16"/>
  <c r="G237" i="16" s="1"/>
  <c r="I39" i="27"/>
  <c r="I19" i="24"/>
  <c r="K41" i="26"/>
  <c r="K83" i="16" s="1"/>
  <c r="P555" i="1"/>
  <c r="O46" i="1"/>
  <c r="O26" i="1"/>
  <c r="P286" i="1"/>
  <c r="P226" i="26" s="1"/>
  <c r="P284" i="1"/>
  <c r="P224" i="26" s="1"/>
  <c r="P285" i="1"/>
  <c r="P225" i="26" s="1"/>
  <c r="P287" i="1"/>
  <c r="P227" i="26" s="1"/>
  <c r="P282" i="1"/>
  <c r="P283" i="1"/>
  <c r="P223" i="26" s="1"/>
  <c r="O503" i="1"/>
  <c r="N511" i="1"/>
  <c r="N610" i="1"/>
  <c r="O27" i="14"/>
  <c r="P292" i="1"/>
  <c r="P232" i="26" s="1"/>
  <c r="P294" i="1"/>
  <c r="P234" i="26" s="1"/>
  <c r="P296" i="1"/>
  <c r="P236" i="26" s="1"/>
  <c r="P291" i="1"/>
  <c r="P231" i="26" s="1"/>
  <c r="P293" i="1"/>
  <c r="P233" i="26" s="1"/>
  <c r="P295" i="1"/>
  <c r="P235" i="26" s="1"/>
  <c r="P33" i="1"/>
  <c r="P34" i="1" s="1"/>
  <c r="P582" i="1"/>
  <c r="P587" i="1"/>
  <c r="P589" i="1"/>
  <c r="P588" i="1"/>
  <c r="P584" i="1"/>
  <c r="P590" i="1"/>
  <c r="P586" i="1"/>
  <c r="P585" i="1"/>
  <c r="P583" i="1"/>
  <c r="P13" i="1"/>
  <c r="O591" i="1"/>
  <c r="N19" i="26"/>
  <c r="P642" i="1"/>
  <c r="P448" i="1"/>
  <c r="P630" i="1"/>
  <c r="O297" i="1"/>
  <c r="O288" i="1"/>
  <c r="O84" i="1"/>
  <c r="O303" i="1"/>
  <c r="N42" i="14"/>
  <c r="O231" i="26"/>
  <c r="O237" i="26" s="1"/>
  <c r="P647" i="1"/>
  <c r="P648" i="1" s="1"/>
  <c r="P43" i="1"/>
  <c r="P44" i="1" s="1"/>
  <c r="P24" i="1"/>
  <c r="P83" i="1"/>
  <c r="N304" i="1"/>
  <c r="N242" i="26"/>
  <c r="N243" i="26" s="1"/>
  <c r="P37" i="1"/>
  <c r="P40" i="1" s="1"/>
  <c r="P613" i="1"/>
  <c r="P611" i="1"/>
  <c r="P612" i="1"/>
  <c r="P614" i="1"/>
  <c r="P609" i="1"/>
  <c r="P617" i="1"/>
  <c r="P616" i="1"/>
  <c r="P615" i="1"/>
  <c r="P606" i="1"/>
  <c r="M618" i="1"/>
  <c r="M644" i="1" s="1"/>
  <c r="M652" i="1"/>
  <c r="K190" i="11"/>
  <c r="K345" i="11" s="1"/>
  <c r="K347" i="11" s="1"/>
  <c r="L183" i="11" s="1"/>
  <c r="L187" i="11" s="1"/>
  <c r="J71" i="38"/>
  <c r="K7" i="38" s="1"/>
  <c r="O11" i="27"/>
  <c r="N142" i="38"/>
  <c r="P25" i="14"/>
  <c r="P54" i="27"/>
  <c r="P55" i="14"/>
  <c r="P69" i="27" s="1"/>
  <c r="K145" i="38"/>
  <c r="K147" i="38" s="1"/>
  <c r="L83" i="38" s="1"/>
  <c r="L87" i="38" s="1"/>
  <c r="L90" i="38" s="1"/>
  <c r="O142" i="38"/>
  <c r="P12" i="14"/>
  <c r="P24" i="14"/>
  <c r="P53" i="27"/>
  <c r="P54" i="14"/>
  <c r="O20" i="14"/>
  <c r="N10" i="27"/>
  <c r="N13" i="27" s="1"/>
  <c r="N71" i="27"/>
  <c r="O57" i="14"/>
  <c r="O68" i="27"/>
  <c r="P451" i="1"/>
  <c r="O558" i="1"/>
  <c r="O460" i="1"/>
  <c r="N567" i="1"/>
  <c r="N593" i="1" s="1"/>
  <c r="N651" i="1"/>
  <c r="L259" i="1"/>
  <c r="P51" i="1"/>
  <c r="P71" i="1" s="1"/>
  <c r="O71" i="1"/>
  <c r="M239" i="1"/>
  <c r="M173" i="26"/>
  <c r="M179" i="26" s="1"/>
  <c r="M11" i="26" s="1"/>
  <c r="N235" i="1"/>
  <c r="N175" i="26" s="1"/>
  <c r="N238" i="1"/>
  <c r="N178" i="26" s="1"/>
  <c r="N237" i="1"/>
  <c r="N177" i="26" s="1"/>
  <c r="N236" i="1"/>
  <c r="N176" i="26" s="1"/>
  <c r="N234" i="1"/>
  <c r="N174" i="26" s="1"/>
  <c r="N233" i="1"/>
  <c r="M230" i="1"/>
  <c r="M163" i="26"/>
  <c r="M170" i="26" s="1"/>
  <c r="M10" i="26" s="1"/>
  <c r="N228" i="1"/>
  <c r="N168" i="26" s="1"/>
  <c r="N229" i="1"/>
  <c r="N169" i="26" s="1"/>
  <c r="N225" i="1"/>
  <c r="N165" i="26" s="1"/>
  <c r="N223" i="1"/>
  <c r="N227" i="1"/>
  <c r="N167" i="26" s="1"/>
  <c r="N226" i="1"/>
  <c r="N166" i="26" s="1"/>
  <c r="N224" i="1"/>
  <c r="N164" i="26" s="1"/>
  <c r="P50" i="1"/>
  <c r="P70" i="1" s="1"/>
  <c r="O70" i="1"/>
  <c r="L14" i="26"/>
  <c r="L199" i="26"/>
  <c r="M54" i="1"/>
  <c r="M248" i="1"/>
  <c r="M182" i="26"/>
  <c r="M188" i="26" s="1"/>
  <c r="N245" i="1"/>
  <c r="N185" i="26" s="1"/>
  <c r="N243" i="1"/>
  <c r="N183" i="26" s="1"/>
  <c r="N242" i="1"/>
  <c r="N246" i="1"/>
  <c r="N186" i="26" s="1"/>
  <c r="N247" i="1"/>
  <c r="N187" i="26" s="1"/>
  <c r="N244" i="1"/>
  <c r="N184" i="26" s="1"/>
  <c r="N74" i="1"/>
  <c r="O98" i="26"/>
  <c r="P74" i="26"/>
  <c r="P96" i="26"/>
  <c r="P13" i="26" s="1"/>
  <c r="N145" i="26"/>
  <c r="N151" i="26" s="1"/>
  <c r="O132" i="26"/>
  <c r="P85" i="26"/>
  <c r="O143" i="26"/>
  <c r="O121" i="26"/>
  <c r="O110" i="26"/>
  <c r="P63" i="26"/>
  <c r="P336" i="16"/>
  <c r="P104" i="26"/>
  <c r="P115" i="26"/>
  <c r="P126" i="26"/>
  <c r="P137" i="26"/>
  <c r="P118" i="26"/>
  <c r="P129" i="26"/>
  <c r="P140" i="26"/>
  <c r="P107" i="26"/>
  <c r="P106" i="26"/>
  <c r="P117" i="26"/>
  <c r="P128" i="26"/>
  <c r="P139" i="26"/>
  <c r="P103" i="26"/>
  <c r="P114" i="26"/>
  <c r="P125" i="26"/>
  <c r="P136" i="26"/>
  <c r="P142" i="26"/>
  <c r="P109" i="26"/>
  <c r="P120" i="26"/>
  <c r="P131" i="26"/>
  <c r="P397" i="16"/>
  <c r="N198" i="11"/>
  <c r="N206" i="11"/>
  <c r="N214" i="11"/>
  <c r="N222" i="11"/>
  <c r="N230" i="11"/>
  <c r="N238" i="11"/>
  <c r="N246" i="11"/>
  <c r="N197" i="11"/>
  <c r="N205" i="11"/>
  <c r="N213" i="11"/>
  <c r="N221" i="11"/>
  <c r="N229" i="11"/>
  <c r="N237" i="11"/>
  <c r="N245" i="11"/>
  <c r="N253" i="11"/>
  <c r="N196" i="11"/>
  <c r="N195" i="11"/>
  <c r="N203" i="11"/>
  <c r="N211" i="11"/>
  <c r="N219" i="11"/>
  <c r="N227" i="11"/>
  <c r="N235" i="11"/>
  <c r="N243" i="11"/>
  <c r="N251" i="11"/>
  <c r="N194" i="11"/>
  <c r="N202" i="11"/>
  <c r="N210" i="11"/>
  <c r="N218" i="11"/>
  <c r="N226" i="11"/>
  <c r="N234" i="11"/>
  <c r="N193" i="11"/>
  <c r="N201" i="11"/>
  <c r="N209" i="11"/>
  <c r="N217" i="11"/>
  <c r="N225" i="11"/>
  <c r="N233" i="11"/>
  <c r="N241" i="11"/>
  <c r="N200" i="11"/>
  <c r="N208" i="11"/>
  <c r="N216" i="11"/>
  <c r="N224" i="11"/>
  <c r="N232" i="11"/>
  <c r="N240" i="11"/>
  <c r="N248" i="11"/>
  <c r="N204" i="11"/>
  <c r="N236" i="11"/>
  <c r="N260" i="11"/>
  <c r="N268" i="11"/>
  <c r="N276" i="11"/>
  <c r="N284" i="11"/>
  <c r="N292" i="11"/>
  <c r="N300" i="11"/>
  <c r="N308" i="11"/>
  <c r="N316" i="11"/>
  <c r="N324" i="11"/>
  <c r="N199" i="11"/>
  <c r="N223" i="11"/>
  <c r="N259" i="11"/>
  <c r="N267" i="11"/>
  <c r="N275" i="11"/>
  <c r="N283" i="11"/>
  <c r="N291" i="11"/>
  <c r="N299" i="11"/>
  <c r="N307" i="11"/>
  <c r="N315" i="11"/>
  <c r="N323" i="11"/>
  <c r="N215" i="11"/>
  <c r="N242" i="11"/>
  <c r="N257" i="11"/>
  <c r="N265" i="11"/>
  <c r="N273" i="11"/>
  <c r="N281" i="11"/>
  <c r="N289" i="11"/>
  <c r="N297" i="11"/>
  <c r="N305" i="11"/>
  <c r="N313" i="11"/>
  <c r="N321" i="11"/>
  <c r="N220" i="11"/>
  <c r="N249" i="11"/>
  <c r="N256" i="11"/>
  <c r="N264" i="11"/>
  <c r="N272" i="11"/>
  <c r="N280" i="11"/>
  <c r="N288" i="11"/>
  <c r="N296" i="11"/>
  <c r="N304" i="11"/>
  <c r="N312" i="11"/>
  <c r="N320" i="11"/>
  <c r="N212" i="11"/>
  <c r="N254" i="11"/>
  <c r="N270" i="11"/>
  <c r="N286" i="11"/>
  <c r="N302" i="11"/>
  <c r="N318" i="11"/>
  <c r="N332" i="11"/>
  <c r="N340" i="11"/>
  <c r="N22" i="11"/>
  <c r="N30" i="11"/>
  <c r="N38" i="11"/>
  <c r="N46" i="11"/>
  <c r="N266" i="11"/>
  <c r="N282" i="11"/>
  <c r="N298" i="11"/>
  <c r="N314" i="11"/>
  <c r="N330" i="11"/>
  <c r="N338" i="11"/>
  <c r="N20" i="11"/>
  <c r="N247" i="11"/>
  <c r="N255" i="11"/>
  <c r="N271" i="11"/>
  <c r="N287" i="11"/>
  <c r="N303" i="11"/>
  <c r="N319" i="11"/>
  <c r="N329" i="11"/>
  <c r="N337" i="11"/>
  <c r="N19" i="11"/>
  <c r="N27" i="11"/>
  <c r="N35" i="11"/>
  <c r="N252" i="11"/>
  <c r="N262" i="11"/>
  <c r="N278" i="11"/>
  <c r="N294" i="11"/>
  <c r="N310" i="11"/>
  <c r="N326" i="11"/>
  <c r="N328" i="11"/>
  <c r="N336" i="11"/>
  <c r="N18" i="11"/>
  <c r="N26" i="11"/>
  <c r="N364" i="11" s="1"/>
  <c r="N381" i="11" s="1"/>
  <c r="N34" i="11"/>
  <c r="N42" i="11"/>
  <c r="N50" i="11"/>
  <c r="N285" i="11"/>
  <c r="N317" i="11"/>
  <c r="N17" i="11"/>
  <c r="N28" i="11"/>
  <c r="N39" i="11"/>
  <c r="N41" i="11"/>
  <c r="N44" i="11"/>
  <c r="N47" i="11"/>
  <c r="N244" i="11"/>
  <c r="N258" i="11"/>
  <c r="N290" i="11"/>
  <c r="N322" i="11"/>
  <c r="N334" i="11"/>
  <c r="N24" i="11"/>
  <c r="N32" i="11"/>
  <c r="N228" i="11"/>
  <c r="N263" i="11"/>
  <c r="N295" i="11"/>
  <c r="N327" i="11"/>
  <c r="N341" i="11"/>
  <c r="N207" i="11"/>
  <c r="N231" i="11"/>
  <c r="N277" i="11"/>
  <c r="N309" i="11"/>
  <c r="N339" i="11"/>
  <c r="N36" i="11"/>
  <c r="N43" i="11"/>
  <c r="N57" i="11"/>
  <c r="N65" i="11"/>
  <c r="N73" i="11"/>
  <c r="N81" i="11"/>
  <c r="N89" i="11"/>
  <c r="N97" i="11"/>
  <c r="N105" i="11"/>
  <c r="N113" i="11"/>
  <c r="N121" i="11"/>
  <c r="N274" i="11"/>
  <c r="N306" i="11"/>
  <c r="N342" i="11"/>
  <c r="N31" i="11"/>
  <c r="N33" i="11"/>
  <c r="N239" i="11"/>
  <c r="N279" i="11"/>
  <c r="N311" i="11"/>
  <c r="N333" i="11"/>
  <c r="N23" i="11"/>
  <c r="N54" i="11"/>
  <c r="N62" i="11"/>
  <c r="N70" i="11"/>
  <c r="N78" i="11"/>
  <c r="N86" i="11"/>
  <c r="N94" i="11"/>
  <c r="N102" i="11"/>
  <c r="N110" i="11"/>
  <c r="N118" i="11"/>
  <c r="N126" i="11"/>
  <c r="N134" i="11"/>
  <c r="N142" i="11"/>
  <c r="N150" i="11"/>
  <c r="N158" i="11"/>
  <c r="N166" i="11"/>
  <c r="N250" i="11"/>
  <c r="N261" i="11"/>
  <c r="N293" i="11"/>
  <c r="N325" i="11"/>
  <c r="N331" i="11"/>
  <c r="N21" i="11"/>
  <c r="N37" i="11"/>
  <c r="N53" i="11"/>
  <c r="N61" i="11"/>
  <c r="N69" i="11"/>
  <c r="N77" i="11"/>
  <c r="N85" i="11"/>
  <c r="N93" i="11"/>
  <c r="N56" i="11"/>
  <c r="N67" i="11"/>
  <c r="N87" i="11"/>
  <c r="N98" i="11"/>
  <c r="N124" i="11"/>
  <c r="N137" i="11"/>
  <c r="N141" i="11"/>
  <c r="N154" i="11"/>
  <c r="N49" i="11"/>
  <c r="N52" i="11"/>
  <c r="N58" i="11"/>
  <c r="N60" i="11"/>
  <c r="N80" i="11"/>
  <c r="N91" i="11"/>
  <c r="N109" i="11"/>
  <c r="N112" i="11"/>
  <c r="N115" i="11"/>
  <c r="N128" i="11"/>
  <c r="N132" i="11"/>
  <c r="N145" i="11"/>
  <c r="N149" i="11"/>
  <c r="N301" i="11"/>
  <c r="N25" i="11"/>
  <c r="N40" i="11"/>
  <c r="N71" i="11"/>
  <c r="N82" i="11"/>
  <c r="N84" i="11"/>
  <c r="N100" i="11"/>
  <c r="N103" i="11"/>
  <c r="N106" i="11"/>
  <c r="N136" i="11"/>
  <c r="N140" i="11"/>
  <c r="N153" i="11"/>
  <c r="N157" i="11"/>
  <c r="N269" i="11"/>
  <c r="N335" i="11"/>
  <c r="N64" i="11"/>
  <c r="N75" i="11"/>
  <c r="N95" i="11"/>
  <c r="N117" i="11"/>
  <c r="N120" i="11"/>
  <c r="N123" i="11"/>
  <c r="N127" i="11"/>
  <c r="N131" i="11"/>
  <c r="N144" i="11"/>
  <c r="N148" i="11"/>
  <c r="N29" i="11"/>
  <c r="N55" i="11"/>
  <c r="N66" i="11"/>
  <c r="N68" i="11"/>
  <c r="N88" i="11"/>
  <c r="N108" i="11"/>
  <c r="N111" i="11"/>
  <c r="N114" i="11"/>
  <c r="N135" i="11"/>
  <c r="N139" i="11"/>
  <c r="N152" i="11"/>
  <c r="N156" i="11"/>
  <c r="N59" i="11"/>
  <c r="N79" i="11"/>
  <c r="N90" i="11"/>
  <c r="N92" i="11"/>
  <c r="N99" i="11"/>
  <c r="N130" i="11"/>
  <c r="N143" i="11"/>
  <c r="N72" i="11"/>
  <c r="N83" i="11"/>
  <c r="N116" i="11"/>
  <c r="N119" i="11"/>
  <c r="N122" i="11"/>
  <c r="N125" i="11"/>
  <c r="N138" i="11"/>
  <c r="N151" i="11"/>
  <c r="N155" i="11"/>
  <c r="N133" i="11"/>
  <c r="N165" i="11"/>
  <c r="N160" i="11"/>
  <c r="N101" i="11"/>
  <c r="N146" i="11"/>
  <c r="N162" i="11"/>
  <c r="N163" i="11"/>
  <c r="N74" i="11"/>
  <c r="N147" i="11"/>
  <c r="N164" i="11"/>
  <c r="N76" i="11"/>
  <c r="N104" i="11"/>
  <c r="O548" i="16"/>
  <c r="N45" i="11"/>
  <c r="N63" i="11"/>
  <c r="N129" i="11"/>
  <c r="N161" i="11"/>
  <c r="N51" i="11"/>
  <c r="N48" i="11"/>
  <c r="N107" i="11"/>
  <c r="N159" i="11"/>
  <c r="N96" i="11"/>
  <c r="N53" i="3"/>
  <c r="N54" i="3"/>
  <c r="M95" i="38"/>
  <c r="M103" i="38"/>
  <c r="M111" i="38"/>
  <c r="M119" i="38"/>
  <c r="M127" i="38"/>
  <c r="M135" i="38"/>
  <c r="M24" i="38"/>
  <c r="M32" i="38"/>
  <c r="M94" i="38"/>
  <c r="M102" i="38"/>
  <c r="M110" i="38"/>
  <c r="M118" i="38"/>
  <c r="M126" i="38"/>
  <c r="M134" i="38"/>
  <c r="M23" i="38"/>
  <c r="M31" i="38"/>
  <c r="M93" i="38"/>
  <c r="M101" i="38"/>
  <c r="M109" i="38"/>
  <c r="M117" i="38"/>
  <c r="M125" i="38"/>
  <c r="M133" i="38"/>
  <c r="M141" i="38"/>
  <c r="M22" i="38"/>
  <c r="M30" i="38"/>
  <c r="M100" i="38"/>
  <c r="M108" i="38"/>
  <c r="M116" i="38"/>
  <c r="M124" i="38"/>
  <c r="M132" i="38"/>
  <c r="M140" i="38"/>
  <c r="M21" i="38"/>
  <c r="M29" i="38"/>
  <c r="M99" i="38"/>
  <c r="M107" i="38"/>
  <c r="M115" i="38"/>
  <c r="M123" i="38"/>
  <c r="M131" i="38"/>
  <c r="M139" i="38"/>
  <c r="M20" i="38"/>
  <c r="M28" i="38"/>
  <c r="M36" i="38"/>
  <c r="M98" i="38"/>
  <c r="M106" i="38"/>
  <c r="M114" i="38"/>
  <c r="M122" i="38"/>
  <c r="M130" i="38"/>
  <c r="M138" i="38"/>
  <c r="M19" i="38"/>
  <c r="M27" i="38"/>
  <c r="M35" i="38"/>
  <c r="M97" i="38"/>
  <c r="M105" i="38"/>
  <c r="M113" i="38"/>
  <c r="M121" i="38"/>
  <c r="M129" i="38"/>
  <c r="M137" i="38"/>
  <c r="M18" i="38"/>
  <c r="M26" i="38"/>
  <c r="M162" i="38" s="1"/>
  <c r="M34" i="38"/>
  <c r="M96" i="38"/>
  <c r="M104" i="38"/>
  <c r="M112" i="38"/>
  <c r="M120" i="38"/>
  <c r="M128" i="38"/>
  <c r="M136" i="38"/>
  <c r="M17" i="38"/>
  <c r="M25" i="38"/>
  <c r="M33" i="38"/>
  <c r="M44" i="38"/>
  <c r="M52" i="38"/>
  <c r="M60" i="38"/>
  <c r="M43" i="38"/>
  <c r="M51" i="38"/>
  <c r="M59" i="38"/>
  <c r="M37" i="38"/>
  <c r="M42" i="38"/>
  <c r="M50" i="38"/>
  <c r="M58" i="38"/>
  <c r="M66" i="38"/>
  <c r="M41" i="38"/>
  <c r="M49" i="38"/>
  <c r="M57" i="38"/>
  <c r="M65" i="38"/>
  <c r="M40" i="38"/>
  <c r="M48" i="38"/>
  <c r="M56" i="38"/>
  <c r="M64" i="38"/>
  <c r="M39" i="38"/>
  <c r="M47" i="38"/>
  <c r="M55" i="38"/>
  <c r="M63" i="38"/>
  <c r="M38" i="38"/>
  <c r="M46" i="38"/>
  <c r="M54" i="38"/>
  <c r="M62" i="38"/>
  <c r="M61" i="38"/>
  <c r="M53" i="38"/>
  <c r="M45" i="38"/>
  <c r="K58" i="28"/>
  <c r="K116" i="28" s="1"/>
  <c r="K10" i="38"/>
  <c r="K14" i="38" s="1"/>
  <c r="K69" i="38" s="1"/>
  <c r="M363" i="11"/>
  <c r="M167" i="11"/>
  <c r="L10" i="11"/>
  <c r="L14" i="11" s="1"/>
  <c r="L40" i="28"/>
  <c r="L89" i="28" s="1"/>
  <c r="L380" i="11"/>
  <c r="L382" i="11" s="1"/>
  <c r="L365" i="11"/>
  <c r="P5" i="16"/>
  <c r="O161" i="3"/>
  <c r="O81" i="38"/>
  <c r="O4" i="3"/>
  <c r="O56" i="3" s="1"/>
  <c r="O157" i="38"/>
  <c r="O357" i="11"/>
  <c r="O5" i="11"/>
  <c r="O5" i="38"/>
  <c r="O181" i="11"/>
  <c r="O5" i="28"/>
  <c r="O51" i="26"/>
  <c r="O5" i="1"/>
  <c r="O366" i="16"/>
  <c r="N4" i="49" s="1"/>
  <c r="N44" i="49" s="1"/>
  <c r="O4" i="24"/>
  <c r="O124" i="28"/>
  <c r="O49" i="27"/>
  <c r="O5" i="26"/>
  <c r="O130" i="1"/>
  <c r="O5" i="27"/>
  <c r="O98" i="28"/>
  <c r="O159" i="26"/>
  <c r="O30" i="24"/>
  <c r="O5" i="14"/>
  <c r="O74" i="14"/>
  <c r="O314" i="1"/>
  <c r="O228" i="16"/>
  <c r="O94" i="1"/>
  <c r="O71" i="28"/>
  <c r="O259" i="16"/>
  <c r="O219" i="1"/>
  <c r="N55" i="3"/>
  <c r="M343" i="11"/>
  <c r="L67" i="38"/>
  <c r="L162" i="38"/>
  <c r="L143" i="38"/>
  <c r="O606" i="16"/>
  <c r="N56" i="3"/>
  <c r="G56" i="3"/>
  <c r="M56" i="3"/>
  <c r="L56" i="3"/>
  <c r="K56" i="3"/>
  <c r="J56" i="3"/>
  <c r="I56" i="3"/>
  <c r="K118" i="3"/>
  <c r="B56" i="3" s="1"/>
  <c r="H56" i="3"/>
  <c r="E37" i="16"/>
  <c r="E39" i="16" s="1"/>
  <c r="E34" i="16"/>
  <c r="E35" i="16"/>
  <c r="H14" i="26"/>
  <c r="G14" i="26"/>
  <c r="G134" i="3"/>
  <c r="N52" i="3" s="1"/>
  <c r="E134" i="3"/>
  <c r="N50" i="3" s="1"/>
  <c r="I199" i="26"/>
  <c r="F134" i="3"/>
  <c r="N51" i="3" s="1"/>
  <c r="E233" i="16" l="1"/>
  <c r="E234" i="16" s="1"/>
  <c r="I156" i="16"/>
  <c r="I11" i="16" s="1"/>
  <c r="K114" i="28"/>
  <c r="K168" i="16" s="1"/>
  <c r="K169" i="16" s="1"/>
  <c r="L56" i="28"/>
  <c r="P18" i="27"/>
  <c r="P33" i="14"/>
  <c r="P653" i="1"/>
  <c r="P655" i="1"/>
  <c r="P222" i="26"/>
  <c r="P228" i="26" s="1"/>
  <c r="O65" i="14"/>
  <c r="O50" i="14" s="1"/>
  <c r="O35" i="14"/>
  <c r="O64" i="27"/>
  <c r="N79" i="27"/>
  <c r="N21" i="27"/>
  <c r="N8" i="24" s="1"/>
  <c r="P63" i="14"/>
  <c r="P48" i="14" s="1"/>
  <c r="P75" i="27"/>
  <c r="P77" i="27" s="1"/>
  <c r="O17" i="27"/>
  <c r="O19" i="27" s="1"/>
  <c r="P16" i="27"/>
  <c r="P62" i="27"/>
  <c r="P657" i="1"/>
  <c r="P27" i="14"/>
  <c r="P35" i="14" s="1"/>
  <c r="O42" i="14"/>
  <c r="O19" i="26"/>
  <c r="O20" i="26"/>
  <c r="J39" i="27"/>
  <c r="J156" i="16" s="1"/>
  <c r="J19" i="24"/>
  <c r="L41" i="26"/>
  <c r="L83" i="16" s="1"/>
  <c r="L190" i="11"/>
  <c r="L345" i="11" s="1"/>
  <c r="L347" i="11" s="1"/>
  <c r="M183" i="11" s="1"/>
  <c r="M187" i="11" s="1"/>
  <c r="P26" i="1"/>
  <c r="P656" i="1"/>
  <c r="P288" i="1"/>
  <c r="P303" i="1"/>
  <c r="P84" i="1"/>
  <c r="P503" i="1"/>
  <c r="O511" i="1"/>
  <c r="O610" i="1"/>
  <c r="P658" i="1"/>
  <c r="P591" i="1"/>
  <c r="P654" i="1"/>
  <c r="P46" i="1"/>
  <c r="P659" i="1"/>
  <c r="N652" i="1"/>
  <c r="N618" i="1"/>
  <c r="N644" i="1" s="1"/>
  <c r="M660" i="1"/>
  <c r="O304" i="1"/>
  <c r="O242" i="26"/>
  <c r="O243" i="26" s="1"/>
  <c r="P237" i="26"/>
  <c r="P297" i="1"/>
  <c r="K71" i="38"/>
  <c r="L7" i="38" s="1"/>
  <c r="L145" i="38"/>
  <c r="L147" i="38" s="1"/>
  <c r="M83" i="38" s="1"/>
  <c r="M87" i="38" s="1"/>
  <c r="M90" i="38" s="1"/>
  <c r="G135" i="3"/>
  <c r="I52" i="3"/>
  <c r="J52" i="3"/>
  <c r="K52" i="3"/>
  <c r="L52" i="3"/>
  <c r="M52" i="3"/>
  <c r="F135" i="3"/>
  <c r="J51" i="3"/>
  <c r="K51" i="3"/>
  <c r="H51" i="3"/>
  <c r="L51" i="3"/>
  <c r="M51" i="3"/>
  <c r="E135" i="3"/>
  <c r="G50" i="3"/>
  <c r="J50" i="3"/>
  <c r="K50" i="3"/>
  <c r="L50" i="3"/>
  <c r="M50" i="3"/>
  <c r="P11" i="27"/>
  <c r="P57" i="14"/>
  <c r="P68" i="27"/>
  <c r="P71" i="27" s="1"/>
  <c r="O10" i="27"/>
  <c r="O13" i="27" s="1"/>
  <c r="O71" i="27"/>
  <c r="O79" i="27" s="1"/>
  <c r="P142" i="38"/>
  <c r="P20" i="14"/>
  <c r="P56" i="27"/>
  <c r="O567" i="1"/>
  <c r="O593" i="1" s="1"/>
  <c r="O651" i="1"/>
  <c r="P558" i="1"/>
  <c r="P460" i="1"/>
  <c r="M259" i="1"/>
  <c r="N239" i="1"/>
  <c r="N173" i="26"/>
  <c r="N179" i="26" s="1"/>
  <c r="N11" i="26" s="1"/>
  <c r="O236" i="1"/>
  <c r="O176" i="26" s="1"/>
  <c r="O238" i="1"/>
  <c r="O178" i="26" s="1"/>
  <c r="O237" i="1"/>
  <c r="O177" i="26" s="1"/>
  <c r="O235" i="1"/>
  <c r="O175" i="26" s="1"/>
  <c r="O234" i="1"/>
  <c r="O174" i="26" s="1"/>
  <c r="O233" i="1"/>
  <c r="P236" i="1"/>
  <c r="P176" i="26" s="1"/>
  <c r="P235" i="1"/>
  <c r="P175" i="26" s="1"/>
  <c r="P238" i="1"/>
  <c r="P178" i="26" s="1"/>
  <c r="P234" i="1"/>
  <c r="P174" i="26" s="1"/>
  <c r="P233" i="1"/>
  <c r="P237" i="1"/>
  <c r="P177" i="26" s="1"/>
  <c r="N230" i="1"/>
  <c r="N163" i="26"/>
  <c r="N170" i="26" s="1"/>
  <c r="N10" i="26" s="1"/>
  <c r="O228" i="1"/>
  <c r="O168" i="26" s="1"/>
  <c r="O227" i="1"/>
  <c r="O167" i="26" s="1"/>
  <c r="O225" i="1"/>
  <c r="O165" i="26" s="1"/>
  <c r="O223" i="1"/>
  <c r="O224" i="1"/>
  <c r="O164" i="26" s="1"/>
  <c r="O226" i="1"/>
  <c r="O166" i="26" s="1"/>
  <c r="O229" i="1"/>
  <c r="O169" i="26" s="1"/>
  <c r="P224" i="1"/>
  <c r="P164" i="26" s="1"/>
  <c r="P226" i="1"/>
  <c r="P166" i="26" s="1"/>
  <c r="P227" i="1"/>
  <c r="P167" i="26" s="1"/>
  <c r="P225" i="1"/>
  <c r="P165" i="26" s="1"/>
  <c r="P223" i="1"/>
  <c r="P229" i="1"/>
  <c r="P169" i="26" s="1"/>
  <c r="P228" i="1"/>
  <c r="P168" i="26" s="1"/>
  <c r="N54" i="1"/>
  <c r="N248" i="1"/>
  <c r="N182" i="26"/>
  <c r="N188" i="26" s="1"/>
  <c r="O247" i="1"/>
  <c r="O187" i="26" s="1"/>
  <c r="O244" i="1"/>
  <c r="O184" i="26" s="1"/>
  <c r="O245" i="1"/>
  <c r="O185" i="26" s="1"/>
  <c r="O243" i="1"/>
  <c r="O183" i="26" s="1"/>
  <c r="O246" i="1"/>
  <c r="O186" i="26" s="1"/>
  <c r="O242" i="1"/>
  <c r="O74" i="1"/>
  <c r="P245" i="1"/>
  <c r="P185" i="26" s="1"/>
  <c r="P246" i="1"/>
  <c r="P186" i="26" s="1"/>
  <c r="P244" i="1"/>
  <c r="P184" i="26" s="1"/>
  <c r="P243" i="1"/>
  <c r="P183" i="26" s="1"/>
  <c r="P247" i="1"/>
  <c r="P187" i="26" s="1"/>
  <c r="P242" i="1"/>
  <c r="P74" i="1"/>
  <c r="M199" i="26"/>
  <c r="M14" i="26"/>
  <c r="P98" i="26"/>
  <c r="O145" i="26"/>
  <c r="O151" i="26" s="1"/>
  <c r="P121" i="26"/>
  <c r="P143" i="26"/>
  <c r="P132" i="26"/>
  <c r="P110" i="26"/>
  <c r="M67" i="38"/>
  <c r="P157" i="38"/>
  <c r="P161" i="3"/>
  <c r="P81" i="38"/>
  <c r="P4" i="3"/>
  <c r="P57" i="3" s="1"/>
  <c r="P181" i="11"/>
  <c r="P357" i="11"/>
  <c r="P5" i="11"/>
  <c r="P5" i="28"/>
  <c r="P4" i="24"/>
  <c r="P94" i="1"/>
  <c r="P130" i="1"/>
  <c r="P314" i="1"/>
  <c r="P51" i="26"/>
  <c r="P5" i="1"/>
  <c r="P366" i="16"/>
  <c r="O4" i="49" s="1"/>
  <c r="O44" i="49" s="1"/>
  <c r="P124" i="28"/>
  <c r="P49" i="27"/>
  <c r="P5" i="26"/>
  <c r="P5" i="27"/>
  <c r="P98" i="28"/>
  <c r="P159" i="26"/>
  <c r="P30" i="24"/>
  <c r="P5" i="14"/>
  <c r="P74" i="14"/>
  <c r="P228" i="16"/>
  <c r="P71" i="28"/>
  <c r="P259" i="16"/>
  <c r="P219" i="1"/>
  <c r="P5" i="38"/>
  <c r="P606" i="16"/>
  <c r="M57" i="3"/>
  <c r="L57" i="3"/>
  <c r="K57" i="3"/>
  <c r="J57" i="3"/>
  <c r="I57" i="3"/>
  <c r="H57" i="3"/>
  <c r="O57" i="3"/>
  <c r="L118" i="3"/>
  <c r="B57" i="3" s="1"/>
  <c r="N57" i="3"/>
  <c r="G57" i="3"/>
  <c r="N96" i="38"/>
  <c r="N104" i="38"/>
  <c r="N112" i="38"/>
  <c r="N120" i="38"/>
  <c r="N128" i="38"/>
  <c r="N136" i="38"/>
  <c r="N17" i="38"/>
  <c r="N25" i="38"/>
  <c r="N33" i="38"/>
  <c r="N95" i="38"/>
  <c r="N103" i="38"/>
  <c r="N111" i="38"/>
  <c r="N119" i="38"/>
  <c r="N127" i="38"/>
  <c r="N135" i="38"/>
  <c r="N24" i="38"/>
  <c r="N32" i="38"/>
  <c r="N94" i="38"/>
  <c r="N102" i="38"/>
  <c r="N110" i="38"/>
  <c r="N118" i="38"/>
  <c r="N126" i="38"/>
  <c r="N134" i="38"/>
  <c r="N23" i="38"/>
  <c r="N31" i="38"/>
  <c r="N93" i="38"/>
  <c r="N101" i="38"/>
  <c r="N109" i="38"/>
  <c r="N117" i="38"/>
  <c r="N125" i="38"/>
  <c r="N133" i="38"/>
  <c r="N141" i="38"/>
  <c r="N22" i="38"/>
  <c r="N30" i="38"/>
  <c r="N100" i="38"/>
  <c r="N108" i="38"/>
  <c r="N116" i="38"/>
  <c r="N124" i="38"/>
  <c r="N132" i="38"/>
  <c r="N140" i="38"/>
  <c r="N21" i="38"/>
  <c r="N29" i="38"/>
  <c r="N37" i="38"/>
  <c r="N99" i="38"/>
  <c r="N107" i="38"/>
  <c r="N115" i="38"/>
  <c r="N123" i="38"/>
  <c r="N131" i="38"/>
  <c r="N139" i="38"/>
  <c r="N20" i="38"/>
  <c r="N28" i="38"/>
  <c r="N36" i="38"/>
  <c r="N98" i="38"/>
  <c r="N106" i="38"/>
  <c r="N114" i="38"/>
  <c r="N122" i="38"/>
  <c r="N130" i="38"/>
  <c r="N138" i="38"/>
  <c r="N19" i="38"/>
  <c r="N27" i="38"/>
  <c r="N35" i="38"/>
  <c r="N97" i="38"/>
  <c r="N105" i="38"/>
  <c r="N113" i="38"/>
  <c r="N121" i="38"/>
  <c r="N129" i="38"/>
  <c r="N137" i="38"/>
  <c r="N18" i="38"/>
  <c r="N26" i="38"/>
  <c r="N34" i="38"/>
  <c r="N45" i="38"/>
  <c r="N53" i="38"/>
  <c r="N61" i="38"/>
  <c r="N44" i="38"/>
  <c r="N52" i="38"/>
  <c r="N60" i="38"/>
  <c r="N43" i="38"/>
  <c r="N51" i="38"/>
  <c r="N59" i="38"/>
  <c r="N42" i="38"/>
  <c r="N50" i="38"/>
  <c r="N58" i="38"/>
  <c r="N66" i="38"/>
  <c r="N41" i="38"/>
  <c r="N49" i="38"/>
  <c r="N57" i="38"/>
  <c r="N65" i="38"/>
  <c r="N40" i="38"/>
  <c r="N48" i="38"/>
  <c r="N56" i="38"/>
  <c r="N64" i="38"/>
  <c r="N39" i="38"/>
  <c r="N47" i="38"/>
  <c r="N55" i="38"/>
  <c r="N63" i="38"/>
  <c r="N46" i="38"/>
  <c r="N38" i="38"/>
  <c r="N62" i="38"/>
  <c r="N54" i="38"/>
  <c r="Q397" i="16"/>
  <c r="O199" i="11"/>
  <c r="O207" i="11"/>
  <c r="O215" i="11"/>
  <c r="O223" i="11"/>
  <c r="O231" i="11"/>
  <c r="O239" i="11"/>
  <c r="O247" i="11"/>
  <c r="O198" i="11"/>
  <c r="O206" i="11"/>
  <c r="O214" i="11"/>
  <c r="O222" i="11"/>
  <c r="O230" i="11"/>
  <c r="O238" i="11"/>
  <c r="O246" i="11"/>
  <c r="O197" i="11"/>
  <c r="O196" i="11"/>
  <c r="O204" i="11"/>
  <c r="O212" i="11"/>
  <c r="O220" i="11"/>
  <c r="O228" i="11"/>
  <c r="O236" i="11"/>
  <c r="O244" i="11"/>
  <c r="O252" i="11"/>
  <c r="O195" i="11"/>
  <c r="O203" i="11"/>
  <c r="O211" i="11"/>
  <c r="O219" i="11"/>
  <c r="O227" i="11"/>
  <c r="O235" i="11"/>
  <c r="O194" i="11"/>
  <c r="O202" i="11"/>
  <c r="O210" i="11"/>
  <c r="O218" i="11"/>
  <c r="O226" i="11"/>
  <c r="O234" i="11"/>
  <c r="O193" i="11"/>
  <c r="O201" i="11"/>
  <c r="O209" i="11"/>
  <c r="O217" i="11"/>
  <c r="O225" i="11"/>
  <c r="O233" i="11"/>
  <c r="O241" i="11"/>
  <c r="O249" i="11"/>
  <c r="O213" i="11"/>
  <c r="O250" i="11"/>
  <c r="O261" i="11"/>
  <c r="O269" i="11"/>
  <c r="O277" i="11"/>
  <c r="O285" i="11"/>
  <c r="O293" i="11"/>
  <c r="O301" i="11"/>
  <c r="O309" i="11"/>
  <c r="O317" i="11"/>
  <c r="O325" i="11"/>
  <c r="O232" i="11"/>
  <c r="O248" i="11"/>
  <c r="O260" i="11"/>
  <c r="O268" i="11"/>
  <c r="O276" i="11"/>
  <c r="O284" i="11"/>
  <c r="O292" i="11"/>
  <c r="O300" i="11"/>
  <c r="O308" i="11"/>
  <c r="O316" i="11"/>
  <c r="O324" i="11"/>
  <c r="O224" i="11"/>
  <c r="O251" i="11"/>
  <c r="O258" i="11"/>
  <c r="O266" i="11"/>
  <c r="O274" i="11"/>
  <c r="O282" i="11"/>
  <c r="O290" i="11"/>
  <c r="O298" i="11"/>
  <c r="O306" i="11"/>
  <c r="O314" i="11"/>
  <c r="O322" i="11"/>
  <c r="O229" i="11"/>
  <c r="O242" i="11"/>
  <c r="O257" i="11"/>
  <c r="O265" i="11"/>
  <c r="O273" i="11"/>
  <c r="O281" i="11"/>
  <c r="O289" i="11"/>
  <c r="O297" i="11"/>
  <c r="O305" i="11"/>
  <c r="O313" i="11"/>
  <c r="O321" i="11"/>
  <c r="O221" i="11"/>
  <c r="O205" i="11"/>
  <c r="O245" i="11"/>
  <c r="O263" i="11"/>
  <c r="O279" i="11"/>
  <c r="O295" i="11"/>
  <c r="O311" i="11"/>
  <c r="O327" i="11"/>
  <c r="O333" i="11"/>
  <c r="O341" i="11"/>
  <c r="O23" i="11"/>
  <c r="O31" i="11"/>
  <c r="O39" i="11"/>
  <c r="O47" i="11"/>
  <c r="O208" i="11"/>
  <c r="O259" i="11"/>
  <c r="O275" i="11"/>
  <c r="O291" i="11"/>
  <c r="O307" i="11"/>
  <c r="O323" i="11"/>
  <c r="O331" i="11"/>
  <c r="O339" i="11"/>
  <c r="O21" i="11"/>
  <c r="O264" i="11"/>
  <c r="O280" i="11"/>
  <c r="O296" i="11"/>
  <c r="O312" i="11"/>
  <c r="O330" i="11"/>
  <c r="O338" i="11"/>
  <c r="O20" i="11"/>
  <c r="O28" i="11"/>
  <c r="O36" i="11"/>
  <c r="O255" i="11"/>
  <c r="O271" i="11"/>
  <c r="O287" i="11"/>
  <c r="O303" i="11"/>
  <c r="O319" i="11"/>
  <c r="O329" i="11"/>
  <c r="O337" i="11"/>
  <c r="O19" i="11"/>
  <c r="O27" i="11"/>
  <c r="O35" i="11"/>
  <c r="O43" i="11"/>
  <c r="O51" i="11"/>
  <c r="O200" i="11"/>
  <c r="O243" i="11"/>
  <c r="O262" i="11"/>
  <c r="O294" i="11"/>
  <c r="O326" i="11"/>
  <c r="O336" i="11"/>
  <c r="O26" i="11"/>
  <c r="O364" i="11" s="1"/>
  <c r="O381" i="11" s="1"/>
  <c r="O37" i="11"/>
  <c r="O50" i="11"/>
  <c r="O53" i="11"/>
  <c r="O253" i="11"/>
  <c r="O267" i="11"/>
  <c r="O299" i="11"/>
  <c r="O17" i="11"/>
  <c r="O30" i="11"/>
  <c r="O272" i="11"/>
  <c r="O304" i="11"/>
  <c r="O334" i="11"/>
  <c r="O24" i="11"/>
  <c r="O254" i="11"/>
  <c r="O286" i="11"/>
  <c r="O318" i="11"/>
  <c r="O332" i="11"/>
  <c r="O22" i="11"/>
  <c r="O46" i="11"/>
  <c r="O49" i="11"/>
  <c r="O52" i="11"/>
  <c r="O58" i="11"/>
  <c r="O66" i="11"/>
  <c r="O74" i="11"/>
  <c r="O82" i="11"/>
  <c r="O90" i="11"/>
  <c r="O98" i="11"/>
  <c r="O106" i="11"/>
  <c r="O114" i="11"/>
  <c r="O122" i="11"/>
  <c r="O237" i="11"/>
  <c r="O283" i="11"/>
  <c r="O315" i="11"/>
  <c r="O335" i="11"/>
  <c r="O25" i="11"/>
  <c r="O29" i="11"/>
  <c r="O216" i="11"/>
  <c r="O256" i="11"/>
  <c r="O288" i="11"/>
  <c r="O320" i="11"/>
  <c r="O342" i="11"/>
  <c r="O33" i="11"/>
  <c r="O42" i="11"/>
  <c r="O45" i="11"/>
  <c r="O48" i="11"/>
  <c r="O55" i="11"/>
  <c r="O63" i="11"/>
  <c r="O71" i="11"/>
  <c r="O79" i="11"/>
  <c r="O87" i="11"/>
  <c r="O95" i="11"/>
  <c r="O103" i="11"/>
  <c r="O111" i="11"/>
  <c r="O119" i="11"/>
  <c r="O127" i="11"/>
  <c r="O135" i="11"/>
  <c r="O143" i="11"/>
  <c r="O151" i="11"/>
  <c r="O159" i="11"/>
  <c r="O240" i="11"/>
  <c r="O270" i="11"/>
  <c r="O302" i="11"/>
  <c r="O340" i="11"/>
  <c r="O54" i="11"/>
  <c r="O62" i="11"/>
  <c r="O70" i="11"/>
  <c r="O78" i="11"/>
  <c r="O86" i="11"/>
  <c r="O94" i="11"/>
  <c r="O328" i="11"/>
  <c r="O65" i="11"/>
  <c r="O76" i="11"/>
  <c r="O96" i="11"/>
  <c r="O101" i="11"/>
  <c r="O104" i="11"/>
  <c r="O107" i="11"/>
  <c r="O129" i="11"/>
  <c r="O133" i="11"/>
  <c r="O146" i="11"/>
  <c r="O150" i="11"/>
  <c r="O163" i="11"/>
  <c r="O34" i="11"/>
  <c r="O56" i="11"/>
  <c r="O67" i="11"/>
  <c r="O69" i="11"/>
  <c r="O89" i="11"/>
  <c r="O118" i="11"/>
  <c r="O121" i="11"/>
  <c r="O124" i="11"/>
  <c r="O137" i="11"/>
  <c r="O141" i="11"/>
  <c r="O154" i="11"/>
  <c r="O158" i="11"/>
  <c r="O60" i="11"/>
  <c r="O80" i="11"/>
  <c r="O91" i="11"/>
  <c r="O93" i="11"/>
  <c r="O109" i="11"/>
  <c r="O112" i="11"/>
  <c r="O115" i="11"/>
  <c r="O128" i="11"/>
  <c r="O132" i="11"/>
  <c r="O145" i="11"/>
  <c r="O149" i="11"/>
  <c r="O162" i="11"/>
  <c r="O166" i="11"/>
  <c r="O40" i="11"/>
  <c r="O73" i="11"/>
  <c r="O84" i="11"/>
  <c r="O100" i="11"/>
  <c r="O136" i="11"/>
  <c r="O140" i="11"/>
  <c r="O153" i="11"/>
  <c r="O157" i="11"/>
  <c r="O310" i="11"/>
  <c r="O41" i="11"/>
  <c r="O44" i="11"/>
  <c r="O64" i="11"/>
  <c r="O75" i="11"/>
  <c r="O77" i="11"/>
  <c r="O97" i="11"/>
  <c r="O117" i="11"/>
  <c r="O120" i="11"/>
  <c r="O123" i="11"/>
  <c r="O131" i="11"/>
  <c r="O144" i="11"/>
  <c r="O148" i="11"/>
  <c r="O278" i="11"/>
  <c r="O57" i="11"/>
  <c r="O68" i="11"/>
  <c r="O88" i="11"/>
  <c r="O102" i="11"/>
  <c r="O105" i="11"/>
  <c r="O108" i="11"/>
  <c r="O126" i="11"/>
  <c r="O139" i="11"/>
  <c r="O38" i="11"/>
  <c r="O59" i="11"/>
  <c r="O61" i="11"/>
  <c r="O81" i="11"/>
  <c r="O92" i="11"/>
  <c r="O99" i="11"/>
  <c r="O130" i="11"/>
  <c r="O134" i="11"/>
  <c r="O147" i="11"/>
  <c r="O83" i="11"/>
  <c r="O110" i="11"/>
  <c r="O155" i="11"/>
  <c r="O165" i="11"/>
  <c r="O142" i="11"/>
  <c r="O18" i="11"/>
  <c r="O85" i="11"/>
  <c r="O156" i="11"/>
  <c r="O32" i="11"/>
  <c r="O72" i="11"/>
  <c r="O113" i="11"/>
  <c r="O125" i="11"/>
  <c r="O160" i="11"/>
  <c r="O152" i="11"/>
  <c r="O116" i="11"/>
  <c r="O138" i="11"/>
  <c r="O164" i="11"/>
  <c r="P548" i="16"/>
  <c r="O161" i="11"/>
  <c r="M380" i="11"/>
  <c r="M382" i="11" s="1"/>
  <c r="M365" i="11"/>
  <c r="L163" i="38"/>
  <c r="L175" i="38"/>
  <c r="L176" i="38" s="1"/>
  <c r="M163" i="38"/>
  <c r="M175" i="38"/>
  <c r="M176" i="38" s="1"/>
  <c r="N343" i="11"/>
  <c r="L58" i="28"/>
  <c r="L116" i="28" s="1"/>
  <c r="L10" i="38"/>
  <c r="L14" i="38" s="1"/>
  <c r="L69" i="38" s="1"/>
  <c r="N363" i="11"/>
  <c r="N167" i="11"/>
  <c r="O50" i="3"/>
  <c r="O51" i="3"/>
  <c r="O52" i="3"/>
  <c r="O53" i="3"/>
  <c r="O54" i="3"/>
  <c r="O55" i="3"/>
  <c r="M10" i="11"/>
  <c r="M14" i="11" s="1"/>
  <c r="M40" i="28"/>
  <c r="M89" i="28" s="1"/>
  <c r="M143" i="38"/>
  <c r="E245" i="16"/>
  <c r="E246" i="16" s="1"/>
  <c r="E250" i="16"/>
  <c r="I14" i="26"/>
  <c r="F143" i="3"/>
  <c r="I51" i="3"/>
  <c r="G142" i="3"/>
  <c r="H50" i="3"/>
  <c r="I50" i="3"/>
  <c r="E148" i="3"/>
  <c r="G148" i="3"/>
  <c r="G139" i="3"/>
  <c r="G147" i="3"/>
  <c r="G140" i="3"/>
  <c r="G143" i="3"/>
  <c r="G149" i="3"/>
  <c r="G141" i="3"/>
  <c r="E140" i="3"/>
  <c r="E141" i="3"/>
  <c r="E147" i="3"/>
  <c r="E143" i="3"/>
  <c r="E139" i="3"/>
  <c r="E149" i="3"/>
  <c r="E142" i="3"/>
  <c r="F142" i="3"/>
  <c r="F141" i="3"/>
  <c r="F149" i="3"/>
  <c r="F147" i="3"/>
  <c r="F140" i="3"/>
  <c r="F148" i="3"/>
  <c r="F139" i="3"/>
  <c r="N162" i="38" l="1"/>
  <c r="N175" i="38" s="1"/>
  <c r="N176" i="38" s="1"/>
  <c r="L114" i="28"/>
  <c r="L168" i="16" s="1"/>
  <c r="L169" i="16" s="1"/>
  <c r="M56" i="28"/>
  <c r="P65" i="14"/>
  <c r="P50" i="14" s="1"/>
  <c r="P79" i="27"/>
  <c r="O21" i="27"/>
  <c r="O8" i="24" s="1"/>
  <c r="P17" i="27"/>
  <c r="P19" i="27" s="1"/>
  <c r="P64" i="27"/>
  <c r="P19" i="26"/>
  <c r="P20" i="26"/>
  <c r="K39" i="27"/>
  <c r="K156" i="16" s="1"/>
  <c r="K19" i="24"/>
  <c r="J11" i="16"/>
  <c r="J41" i="27"/>
  <c r="J155" i="16" s="1"/>
  <c r="M41" i="26"/>
  <c r="M83" i="16" s="1"/>
  <c r="M190" i="11"/>
  <c r="M345" i="11" s="1"/>
  <c r="M347" i="11" s="1"/>
  <c r="N183" i="11" s="1"/>
  <c r="N187" i="11" s="1"/>
  <c r="P42" i="14"/>
  <c r="O618" i="1"/>
  <c r="O644" i="1" s="1"/>
  <c r="O652" i="1"/>
  <c r="O660" i="1" s="1"/>
  <c r="N660" i="1"/>
  <c r="P511" i="1"/>
  <c r="P610" i="1"/>
  <c r="P10" i="27"/>
  <c r="P13" i="27" s="1"/>
  <c r="P304" i="1"/>
  <c r="P242" i="26"/>
  <c r="P243" i="26" s="1"/>
  <c r="L71" i="38"/>
  <c r="M7" i="38" s="1"/>
  <c r="M145" i="38"/>
  <c r="M147" i="38" s="1"/>
  <c r="N83" i="38" s="1"/>
  <c r="N87" i="38" s="1"/>
  <c r="N90" i="38" s="1"/>
  <c r="O363" i="11"/>
  <c r="O365" i="11" s="1"/>
  <c r="P567" i="1"/>
  <c r="P593" i="1" s="1"/>
  <c r="P651" i="1"/>
  <c r="N259" i="1"/>
  <c r="O239" i="1"/>
  <c r="O173" i="26"/>
  <c r="O179" i="26" s="1"/>
  <c r="O11" i="26" s="1"/>
  <c r="P239" i="1"/>
  <c r="P173" i="26"/>
  <c r="P179" i="26" s="1"/>
  <c r="P11" i="26" s="1"/>
  <c r="P230" i="1"/>
  <c r="P163" i="26"/>
  <c r="P170" i="26" s="1"/>
  <c r="P10" i="26" s="1"/>
  <c r="O230" i="1"/>
  <c r="O163" i="26"/>
  <c r="O170" i="26" s="1"/>
  <c r="O10" i="26" s="1"/>
  <c r="O54" i="1"/>
  <c r="N199" i="26"/>
  <c r="N14" i="26"/>
  <c r="P54" i="1"/>
  <c r="O248" i="1"/>
  <c r="O182" i="26"/>
  <c r="O188" i="26" s="1"/>
  <c r="P248" i="1"/>
  <c r="P182" i="26"/>
  <c r="P188" i="26" s="1"/>
  <c r="P145" i="26"/>
  <c r="P151" i="26" s="1"/>
  <c r="O97" i="38"/>
  <c r="O105" i="38"/>
  <c r="O113" i="38"/>
  <c r="O121" i="38"/>
  <c r="O129" i="38"/>
  <c r="O137" i="38"/>
  <c r="O18" i="38"/>
  <c r="O26" i="38"/>
  <c r="O34" i="38"/>
  <c r="O96" i="38"/>
  <c r="O104" i="38"/>
  <c r="O112" i="38"/>
  <c r="O120" i="38"/>
  <c r="O128" i="38"/>
  <c r="O136" i="38"/>
  <c r="O17" i="38"/>
  <c r="O25" i="38"/>
  <c r="O33" i="38"/>
  <c r="O95" i="38"/>
  <c r="O103" i="38"/>
  <c r="O111" i="38"/>
  <c r="O119" i="38"/>
  <c r="O127" i="38"/>
  <c r="O135" i="38"/>
  <c r="O24" i="38"/>
  <c r="O32" i="38"/>
  <c r="O94" i="38"/>
  <c r="O102" i="38"/>
  <c r="O110" i="38"/>
  <c r="O118" i="38"/>
  <c r="O126" i="38"/>
  <c r="O134" i="38"/>
  <c r="O23" i="38"/>
  <c r="O31" i="38"/>
  <c r="O93" i="38"/>
  <c r="O101" i="38"/>
  <c r="O109" i="38"/>
  <c r="O117" i="38"/>
  <c r="O125" i="38"/>
  <c r="O133" i="38"/>
  <c r="O141" i="38"/>
  <c r="O22" i="38"/>
  <c r="O30" i="38"/>
  <c r="O100" i="38"/>
  <c r="O108" i="38"/>
  <c r="O116" i="38"/>
  <c r="O124" i="38"/>
  <c r="O132" i="38"/>
  <c r="O140" i="38"/>
  <c r="O21" i="38"/>
  <c r="O29" i="38"/>
  <c r="O99" i="38"/>
  <c r="O107" i="38"/>
  <c r="O115" i="38"/>
  <c r="O123" i="38"/>
  <c r="O131" i="38"/>
  <c r="O139" i="38"/>
  <c r="O20" i="38"/>
  <c r="O28" i="38"/>
  <c r="O36" i="38"/>
  <c r="O98" i="38"/>
  <c r="O106" i="38"/>
  <c r="O114" i="38"/>
  <c r="O122" i="38"/>
  <c r="O130" i="38"/>
  <c r="O138" i="38"/>
  <c r="O19" i="38"/>
  <c r="O27" i="38"/>
  <c r="O35" i="38"/>
  <c r="O38" i="38"/>
  <c r="O46" i="38"/>
  <c r="O54" i="38"/>
  <c r="O62" i="38"/>
  <c r="O45" i="38"/>
  <c r="O53" i="38"/>
  <c r="O61" i="38"/>
  <c r="O44" i="38"/>
  <c r="O52" i="38"/>
  <c r="O60" i="38"/>
  <c r="O37" i="38"/>
  <c r="O43" i="38"/>
  <c r="O51" i="38"/>
  <c r="O59" i="38"/>
  <c r="O42" i="38"/>
  <c r="O50" i="38"/>
  <c r="O58" i="38"/>
  <c r="O66" i="38"/>
  <c r="O41" i="38"/>
  <c r="O49" i="38"/>
  <c r="O57" i="38"/>
  <c r="O65" i="38"/>
  <c r="O40" i="38"/>
  <c r="O48" i="38"/>
  <c r="O56" i="38"/>
  <c r="O64" i="38"/>
  <c r="O55" i="38"/>
  <c r="O47" i="38"/>
  <c r="O39" i="38"/>
  <c r="O63" i="38"/>
  <c r="N380" i="11"/>
  <c r="N382" i="11" s="1"/>
  <c r="N365" i="11"/>
  <c r="N143" i="38"/>
  <c r="P50" i="3"/>
  <c r="P52" i="3"/>
  <c r="P51" i="3"/>
  <c r="P53" i="3"/>
  <c r="P54" i="3"/>
  <c r="P55" i="3"/>
  <c r="P56" i="3"/>
  <c r="O343" i="11"/>
  <c r="N67" i="38"/>
  <c r="P200" i="11"/>
  <c r="P208" i="11"/>
  <c r="P216" i="11"/>
  <c r="P224" i="11"/>
  <c r="P232" i="11"/>
  <c r="P240" i="11"/>
  <c r="P248" i="11"/>
  <c r="P199" i="11"/>
  <c r="P207" i="11"/>
  <c r="P215" i="11"/>
  <c r="P223" i="11"/>
  <c r="P231" i="11"/>
  <c r="P239" i="11"/>
  <c r="P247" i="11"/>
  <c r="P198" i="11"/>
  <c r="P197" i="11"/>
  <c r="P205" i="11"/>
  <c r="P213" i="11"/>
  <c r="P221" i="11"/>
  <c r="P229" i="11"/>
  <c r="P237" i="11"/>
  <c r="P245" i="11"/>
  <c r="P253" i="11"/>
  <c r="P196" i="11"/>
  <c r="P204" i="11"/>
  <c r="P212" i="11"/>
  <c r="P220" i="11"/>
  <c r="P228" i="11"/>
  <c r="P236" i="11"/>
  <c r="P195" i="11"/>
  <c r="P203" i="11"/>
  <c r="P211" i="11"/>
  <c r="P219" i="11"/>
  <c r="P227" i="11"/>
  <c r="P235" i="11"/>
  <c r="P194" i="11"/>
  <c r="P202" i="11"/>
  <c r="P210" i="11"/>
  <c r="P218" i="11"/>
  <c r="P226" i="11"/>
  <c r="P234" i="11"/>
  <c r="P242" i="11"/>
  <c r="P250" i="11"/>
  <c r="P222" i="11"/>
  <c r="P243" i="11"/>
  <c r="P254" i="11"/>
  <c r="P262" i="11"/>
  <c r="P270" i="11"/>
  <c r="P278" i="11"/>
  <c r="P286" i="11"/>
  <c r="P294" i="11"/>
  <c r="P302" i="11"/>
  <c r="P310" i="11"/>
  <c r="P318" i="11"/>
  <c r="P326" i="11"/>
  <c r="P209" i="11"/>
  <c r="P241" i="11"/>
  <c r="P261" i="11"/>
  <c r="P269" i="11"/>
  <c r="P277" i="11"/>
  <c r="P285" i="11"/>
  <c r="P293" i="11"/>
  <c r="P301" i="11"/>
  <c r="P309" i="11"/>
  <c r="P317" i="11"/>
  <c r="P325" i="11"/>
  <c r="P201" i="11"/>
  <c r="P233" i="11"/>
  <c r="P244" i="11"/>
  <c r="P259" i="11"/>
  <c r="P267" i="11"/>
  <c r="P275" i="11"/>
  <c r="P283" i="11"/>
  <c r="P291" i="11"/>
  <c r="P299" i="11"/>
  <c r="P307" i="11"/>
  <c r="P315" i="11"/>
  <c r="P323" i="11"/>
  <c r="P193" i="11"/>
  <c r="P206" i="11"/>
  <c r="P238" i="11"/>
  <c r="P251" i="11"/>
  <c r="P258" i="11"/>
  <c r="P266" i="11"/>
  <c r="P274" i="11"/>
  <c r="P282" i="11"/>
  <c r="P290" i="11"/>
  <c r="P298" i="11"/>
  <c r="P306" i="11"/>
  <c r="P314" i="11"/>
  <c r="P322" i="11"/>
  <c r="P230" i="11"/>
  <c r="P217" i="11"/>
  <c r="P256" i="11"/>
  <c r="P272" i="11"/>
  <c r="P288" i="11"/>
  <c r="P304" i="11"/>
  <c r="P320" i="11"/>
  <c r="P334" i="11"/>
  <c r="P342" i="11"/>
  <c r="P24" i="11"/>
  <c r="P32" i="11"/>
  <c r="P40" i="11"/>
  <c r="P48" i="11"/>
  <c r="P246" i="11"/>
  <c r="P268" i="11"/>
  <c r="P284" i="11"/>
  <c r="P300" i="11"/>
  <c r="P316" i="11"/>
  <c r="P332" i="11"/>
  <c r="P340" i="11"/>
  <c r="P22" i="11"/>
  <c r="P257" i="11"/>
  <c r="P273" i="11"/>
  <c r="P289" i="11"/>
  <c r="P305" i="11"/>
  <c r="P321" i="11"/>
  <c r="P331" i="11"/>
  <c r="P339" i="11"/>
  <c r="P21" i="11"/>
  <c r="P29" i="11"/>
  <c r="P37" i="11"/>
  <c r="P264" i="11"/>
  <c r="P280" i="11"/>
  <c r="P296" i="11"/>
  <c r="P312" i="11"/>
  <c r="P330" i="11"/>
  <c r="P338" i="11"/>
  <c r="P20" i="11"/>
  <c r="P28" i="11"/>
  <c r="P36" i="11"/>
  <c r="P44" i="11"/>
  <c r="P52" i="11"/>
  <c r="P225" i="11"/>
  <c r="P252" i="11"/>
  <c r="P271" i="11"/>
  <c r="P303" i="11"/>
  <c r="P329" i="11"/>
  <c r="P19" i="11"/>
  <c r="P276" i="11"/>
  <c r="P308" i="11"/>
  <c r="P336" i="11"/>
  <c r="P26" i="11"/>
  <c r="P364" i="11" s="1"/>
  <c r="P381" i="11" s="1"/>
  <c r="P281" i="11"/>
  <c r="P313" i="11"/>
  <c r="P17" i="11"/>
  <c r="P263" i="11"/>
  <c r="P295" i="11"/>
  <c r="P327" i="11"/>
  <c r="P341" i="11"/>
  <c r="P34" i="11"/>
  <c r="P59" i="11"/>
  <c r="P67" i="11"/>
  <c r="P75" i="11"/>
  <c r="P83" i="11"/>
  <c r="P91" i="11"/>
  <c r="P99" i="11"/>
  <c r="P107" i="11"/>
  <c r="P115" i="11"/>
  <c r="P123" i="11"/>
  <c r="P214" i="11"/>
  <c r="P260" i="11"/>
  <c r="P292" i="11"/>
  <c r="P324" i="11"/>
  <c r="P328" i="11"/>
  <c r="P18" i="11"/>
  <c r="P249" i="11"/>
  <c r="P265" i="11"/>
  <c r="P297" i="11"/>
  <c r="P335" i="11"/>
  <c r="P25" i="11"/>
  <c r="P31" i="11"/>
  <c r="P51" i="11"/>
  <c r="P56" i="11"/>
  <c r="P64" i="11"/>
  <c r="P72" i="11"/>
  <c r="P80" i="11"/>
  <c r="P88" i="11"/>
  <c r="P96" i="11"/>
  <c r="P104" i="11"/>
  <c r="P112" i="11"/>
  <c r="P120" i="11"/>
  <c r="P128" i="11"/>
  <c r="P136" i="11"/>
  <c r="P144" i="11"/>
  <c r="P152" i="11"/>
  <c r="P160" i="11"/>
  <c r="P279" i="11"/>
  <c r="P311" i="11"/>
  <c r="P333" i="11"/>
  <c r="P23" i="11"/>
  <c r="P33" i="11"/>
  <c r="P35" i="11"/>
  <c r="P42" i="11"/>
  <c r="P45" i="11"/>
  <c r="P55" i="11"/>
  <c r="P63" i="11"/>
  <c r="P71" i="11"/>
  <c r="P79" i="11"/>
  <c r="P87" i="11"/>
  <c r="P95" i="11"/>
  <c r="P255" i="11"/>
  <c r="P39" i="11"/>
  <c r="P54" i="11"/>
  <c r="P74" i="11"/>
  <c r="P85" i="11"/>
  <c r="P110" i="11"/>
  <c r="P113" i="11"/>
  <c r="P116" i="11"/>
  <c r="P125" i="11"/>
  <c r="P138" i="11"/>
  <c r="P142" i="11"/>
  <c r="P155" i="11"/>
  <c r="P159" i="11"/>
  <c r="P65" i="11"/>
  <c r="P76" i="11"/>
  <c r="P78" i="11"/>
  <c r="P98" i="11"/>
  <c r="P101" i="11"/>
  <c r="P129" i="11"/>
  <c r="P133" i="11"/>
  <c r="P146" i="11"/>
  <c r="P150" i="11"/>
  <c r="P43" i="11"/>
  <c r="P46" i="11"/>
  <c r="P49" i="11"/>
  <c r="P58" i="11"/>
  <c r="P69" i="11"/>
  <c r="P89" i="11"/>
  <c r="P118" i="11"/>
  <c r="P121" i="11"/>
  <c r="P124" i="11"/>
  <c r="P137" i="11"/>
  <c r="P141" i="11"/>
  <c r="P154" i="11"/>
  <c r="P158" i="11"/>
  <c r="P27" i="11"/>
  <c r="P60" i="11"/>
  <c r="P62" i="11"/>
  <c r="P82" i="11"/>
  <c r="P93" i="11"/>
  <c r="P103" i="11"/>
  <c r="P106" i="11"/>
  <c r="P109" i="11"/>
  <c r="P132" i="11"/>
  <c r="P145" i="11"/>
  <c r="P149" i="11"/>
  <c r="P337" i="11"/>
  <c r="P47" i="11"/>
  <c r="P50" i="11"/>
  <c r="P53" i="11"/>
  <c r="P73" i="11"/>
  <c r="P84" i="11"/>
  <c r="P86" i="11"/>
  <c r="P100" i="11"/>
  <c r="P127" i="11"/>
  <c r="P140" i="11"/>
  <c r="P153" i="11"/>
  <c r="P157" i="11"/>
  <c r="P30" i="11"/>
  <c r="P41" i="11"/>
  <c r="P66" i="11"/>
  <c r="P77" i="11"/>
  <c r="P97" i="11"/>
  <c r="P111" i="11"/>
  <c r="P114" i="11"/>
  <c r="P117" i="11"/>
  <c r="P131" i="11"/>
  <c r="P135" i="11"/>
  <c r="P319" i="11"/>
  <c r="P57" i="11"/>
  <c r="P68" i="11"/>
  <c r="P70" i="11"/>
  <c r="P90" i="11"/>
  <c r="P102" i="11"/>
  <c r="P105" i="11"/>
  <c r="P108" i="11"/>
  <c r="P126" i="11"/>
  <c r="P139" i="11"/>
  <c r="P143" i="11"/>
  <c r="P156" i="11"/>
  <c r="P122" i="11"/>
  <c r="P163" i="11"/>
  <c r="P81" i="11"/>
  <c r="P134" i="11"/>
  <c r="P165" i="11"/>
  <c r="P287" i="11"/>
  <c r="P161" i="11"/>
  <c r="P151" i="11"/>
  <c r="P38" i="11"/>
  <c r="P162" i="11"/>
  <c r="P61" i="11"/>
  <c r="P147" i="11"/>
  <c r="P92" i="11"/>
  <c r="P148" i="11"/>
  <c r="P164" i="11"/>
  <c r="P166" i="11"/>
  <c r="P94" i="11"/>
  <c r="P119" i="11"/>
  <c r="P130" i="11"/>
  <c r="Q548" i="16"/>
  <c r="Q606" i="16"/>
  <c r="L58" i="3"/>
  <c r="K58" i="3"/>
  <c r="J58" i="3"/>
  <c r="I58" i="3"/>
  <c r="P58" i="3"/>
  <c r="H58" i="3"/>
  <c r="O58" i="3"/>
  <c r="N58" i="3"/>
  <c r="G58" i="3"/>
  <c r="M58" i="3"/>
  <c r="M118" i="3"/>
  <c r="B58" i="3" s="1"/>
  <c r="N40" i="28"/>
  <c r="N89" i="28" s="1"/>
  <c r="N10" i="11"/>
  <c r="N14" i="11" s="1"/>
  <c r="O167" i="11"/>
  <c r="M10" i="38"/>
  <c r="M14" i="38" s="1"/>
  <c r="M69" i="38" s="1"/>
  <c r="M58" i="28"/>
  <c r="M116" i="28" s="1"/>
  <c r="H49" i="24"/>
  <c r="H41" i="27"/>
  <c r="H155" i="16" s="1"/>
  <c r="G144" i="3"/>
  <c r="G150" i="3"/>
  <c r="E144" i="3"/>
  <c r="E150" i="3"/>
  <c r="F144" i="3"/>
  <c r="F150" i="3"/>
  <c r="N163" i="38" l="1"/>
  <c r="M114" i="28"/>
  <c r="M168" i="16" s="1"/>
  <c r="M169" i="16" s="1"/>
  <c r="N56" i="28"/>
  <c r="P21" i="27"/>
  <c r="P8" i="24" s="1"/>
  <c r="L39" i="27"/>
  <c r="L156" i="16" s="1"/>
  <c r="L19" i="24"/>
  <c r="K11" i="16"/>
  <c r="K41" i="27"/>
  <c r="K155" i="16" s="1"/>
  <c r="J157" i="16"/>
  <c r="J237" i="16" s="1"/>
  <c r="N41" i="26"/>
  <c r="N83" i="16" s="1"/>
  <c r="M71" i="38"/>
  <c r="N7" i="38" s="1"/>
  <c r="N190" i="11"/>
  <c r="N345" i="11" s="1"/>
  <c r="N347" i="11" s="1"/>
  <c r="O183" i="11" s="1"/>
  <c r="O187" i="11" s="1"/>
  <c r="P652" i="1"/>
  <c r="P660" i="1" s="1"/>
  <c r="P618" i="1"/>
  <c r="P644" i="1" s="1"/>
  <c r="N145" i="38"/>
  <c r="N147" i="38" s="1"/>
  <c r="O83" i="38" s="1"/>
  <c r="O87" i="38" s="1"/>
  <c r="O90" i="38" s="1"/>
  <c r="O380" i="11"/>
  <c r="O382" i="11" s="1"/>
  <c r="P259" i="1"/>
  <c r="O259" i="1"/>
  <c r="P14" i="26"/>
  <c r="P199" i="26"/>
  <c r="O14" i="26"/>
  <c r="O199" i="26"/>
  <c r="K59" i="3"/>
  <c r="K191" i="3" s="1"/>
  <c r="N118" i="3"/>
  <c r="B59" i="3" s="1"/>
  <c r="J59" i="3"/>
  <c r="J184" i="3" s="1"/>
  <c r="I59" i="3"/>
  <c r="I192" i="3" s="1"/>
  <c r="P59" i="3"/>
  <c r="P184" i="3" s="1"/>
  <c r="H59" i="3"/>
  <c r="H186" i="3" s="1"/>
  <c r="O59" i="3"/>
  <c r="O182" i="3" s="1"/>
  <c r="N59" i="3"/>
  <c r="N190" i="3" s="1"/>
  <c r="M59" i="3"/>
  <c r="M185" i="3" s="1"/>
  <c r="L59" i="3"/>
  <c r="L185" i="3" s="1"/>
  <c r="G59" i="3"/>
  <c r="G182" i="3" s="1"/>
  <c r="N58" i="28"/>
  <c r="N116" i="28" s="1"/>
  <c r="N10" i="38"/>
  <c r="N14" i="38" s="1"/>
  <c r="N69" i="38" s="1"/>
  <c r="O143" i="38"/>
  <c r="P343" i="11"/>
  <c r="P98" i="38"/>
  <c r="P106" i="38"/>
  <c r="P114" i="38"/>
  <c r="P122" i="38"/>
  <c r="P130" i="38"/>
  <c r="P138" i="38"/>
  <c r="P19" i="38"/>
  <c r="P27" i="38"/>
  <c r="P35" i="38"/>
  <c r="P97" i="38"/>
  <c r="P105" i="38"/>
  <c r="P113" i="38"/>
  <c r="P121" i="38"/>
  <c r="P129" i="38"/>
  <c r="P137" i="38"/>
  <c r="P18" i="38"/>
  <c r="P26" i="38"/>
  <c r="P34" i="38"/>
  <c r="P96" i="38"/>
  <c r="P104" i="38"/>
  <c r="P112" i="38"/>
  <c r="P120" i="38"/>
  <c r="P128" i="38"/>
  <c r="P136" i="38"/>
  <c r="P17" i="38"/>
  <c r="P25" i="38"/>
  <c r="P33" i="38"/>
  <c r="P95" i="38"/>
  <c r="P103" i="38"/>
  <c r="P111" i="38"/>
  <c r="P119" i="38"/>
  <c r="P127" i="38"/>
  <c r="P135" i="38"/>
  <c r="P24" i="38"/>
  <c r="P32" i="38"/>
  <c r="P94" i="38"/>
  <c r="P102" i="38"/>
  <c r="P110" i="38"/>
  <c r="P118" i="38"/>
  <c r="P126" i="38"/>
  <c r="P134" i="38"/>
  <c r="P23" i="38"/>
  <c r="P31" i="38"/>
  <c r="P93" i="38"/>
  <c r="P101" i="38"/>
  <c r="P109" i="38"/>
  <c r="P117" i="38"/>
  <c r="P125" i="38"/>
  <c r="P133" i="38"/>
  <c r="P141" i="38"/>
  <c r="P22" i="38"/>
  <c r="P30" i="38"/>
  <c r="P100" i="38"/>
  <c r="P108" i="38"/>
  <c r="P116" i="38"/>
  <c r="P124" i="38"/>
  <c r="P132" i="38"/>
  <c r="P140" i="38"/>
  <c r="P21" i="38"/>
  <c r="P29" i="38"/>
  <c r="P37" i="38"/>
  <c r="P99" i="38"/>
  <c r="P107" i="38"/>
  <c r="P115" i="38"/>
  <c r="P123" i="38"/>
  <c r="P131" i="38"/>
  <c r="P139" i="38"/>
  <c r="P20" i="38"/>
  <c r="P28" i="38"/>
  <c r="P39" i="38"/>
  <c r="P47" i="38"/>
  <c r="P55" i="38"/>
  <c r="P63" i="38"/>
  <c r="P36" i="38"/>
  <c r="P38" i="38"/>
  <c r="P46" i="38"/>
  <c r="P54" i="38"/>
  <c r="P62" i="38"/>
  <c r="P45" i="38"/>
  <c r="P53" i="38"/>
  <c r="P61" i="38"/>
  <c r="P44" i="38"/>
  <c r="P52" i="38"/>
  <c r="P60" i="38"/>
  <c r="P43" i="38"/>
  <c r="P51" i="38"/>
  <c r="P59" i="38"/>
  <c r="P42" i="38"/>
  <c r="P50" i="38"/>
  <c r="P58" i="38"/>
  <c r="P66" i="38"/>
  <c r="P41" i="38"/>
  <c r="P49" i="38"/>
  <c r="P57" i="38"/>
  <c r="P65" i="38"/>
  <c r="P64" i="38"/>
  <c r="P56" i="38"/>
  <c r="P40" i="38"/>
  <c r="P48" i="38"/>
  <c r="O67" i="38"/>
  <c r="O162" i="38"/>
  <c r="O40" i="28"/>
  <c r="O89" i="28" s="1"/>
  <c r="O10" i="11"/>
  <c r="O14" i="11" s="1"/>
  <c r="O169" i="11" s="1"/>
  <c r="O171" i="11" s="1"/>
  <c r="P7" i="11" s="1"/>
  <c r="P363" i="11"/>
  <c r="P167" i="11"/>
  <c r="H12" i="24"/>
  <c r="H13" i="24"/>
  <c r="H157" i="16"/>
  <c r="H237" i="16" s="1"/>
  <c r="I49" i="24"/>
  <c r="I41" i="27"/>
  <c r="I155" i="16" s="1"/>
  <c r="G152" i="3"/>
  <c r="E152" i="3"/>
  <c r="F152" i="3"/>
  <c r="N114" i="28" l="1"/>
  <c r="N168" i="16" s="1"/>
  <c r="N169" i="16" s="1"/>
  <c r="O56" i="28"/>
  <c r="N183" i="3"/>
  <c r="N200" i="3" s="1"/>
  <c r="J186" i="3"/>
  <c r="J203" i="3" s="1"/>
  <c r="G192" i="3"/>
  <c r="G209" i="3" s="1"/>
  <c r="P191" i="3"/>
  <c r="P208" i="3" s="1"/>
  <c r="K192" i="3"/>
  <c r="K209" i="3" s="1"/>
  <c r="L184" i="3"/>
  <c r="L201" i="3" s="1"/>
  <c r="O184" i="3"/>
  <c r="O201" i="3" s="1"/>
  <c r="N182" i="3"/>
  <c r="M186" i="3"/>
  <c r="M203" i="3" s="1"/>
  <c r="O190" i="3"/>
  <c r="H182" i="3"/>
  <c r="I191" i="3"/>
  <c r="I208" i="3" s="1"/>
  <c r="P192" i="3"/>
  <c r="P209" i="3" s="1"/>
  <c r="G185" i="3"/>
  <c r="G202" i="3" s="1"/>
  <c r="K186" i="3"/>
  <c r="K203" i="3" s="1"/>
  <c r="J191" i="3"/>
  <c r="J208" i="3" s="1"/>
  <c r="L183" i="3"/>
  <c r="L200" i="3" s="1"/>
  <c r="N191" i="3"/>
  <c r="N208" i="3" s="1"/>
  <c r="J185" i="3"/>
  <c r="J202" i="3" s="1"/>
  <c r="H192" i="3"/>
  <c r="H209" i="3" s="1"/>
  <c r="P185" i="3"/>
  <c r="P202" i="3" s="1"/>
  <c r="I184" i="3"/>
  <c r="I201" i="3" s="1"/>
  <c r="G190" i="3"/>
  <c r="G186" i="3"/>
  <c r="G203" i="3" s="1"/>
  <c r="M60" i="3"/>
  <c r="M62" i="3" s="1"/>
  <c r="M190" i="3"/>
  <c r="K185" i="3"/>
  <c r="K202" i="3" s="1"/>
  <c r="L182" i="3"/>
  <c r="O186" i="3"/>
  <c r="O203" i="3" s="1"/>
  <c r="N185" i="3"/>
  <c r="N202" i="3" s="1"/>
  <c r="J190" i="3"/>
  <c r="P186" i="3"/>
  <c r="P203" i="3" s="1"/>
  <c r="H185" i="3"/>
  <c r="H202" i="3" s="1"/>
  <c r="I186" i="3"/>
  <c r="I203" i="3" s="1"/>
  <c r="H191" i="3"/>
  <c r="H208" i="3" s="1"/>
  <c r="G191" i="3"/>
  <c r="G208" i="3" s="1"/>
  <c r="K182" i="3"/>
  <c r="M191" i="3"/>
  <c r="M208" i="3" s="1"/>
  <c r="O192" i="3"/>
  <c r="O209" i="3" s="1"/>
  <c r="P182" i="3"/>
  <c r="P199" i="3" s="1"/>
  <c r="N184" i="3"/>
  <c r="N201" i="3" s="1"/>
  <c r="J183" i="3"/>
  <c r="J200" i="3" s="1"/>
  <c r="H190" i="3"/>
  <c r="O191" i="3"/>
  <c r="O208" i="3" s="1"/>
  <c r="I182" i="3"/>
  <c r="I190" i="3"/>
  <c r="G184" i="3"/>
  <c r="G201" i="3" s="1"/>
  <c r="L191" i="3"/>
  <c r="L208" i="3" s="1"/>
  <c r="M182" i="3"/>
  <c r="P183" i="3"/>
  <c r="P200" i="3" s="1"/>
  <c r="O185" i="3"/>
  <c r="O202" i="3" s="1"/>
  <c r="N192" i="3"/>
  <c r="N209" i="3" s="1"/>
  <c r="J182" i="3"/>
  <c r="M183" i="3"/>
  <c r="M200" i="3" s="1"/>
  <c r="N186" i="3"/>
  <c r="N203" i="3" s="1"/>
  <c r="H184" i="3"/>
  <c r="H201" i="3" s="1"/>
  <c r="I183" i="3"/>
  <c r="I200" i="3" s="1"/>
  <c r="K190" i="3"/>
  <c r="L186" i="3"/>
  <c r="L203" i="3" s="1"/>
  <c r="P190" i="3"/>
  <c r="P207" i="3" s="1"/>
  <c r="M192" i="3"/>
  <c r="M209" i="3" s="1"/>
  <c r="O183" i="3"/>
  <c r="O200" i="3" s="1"/>
  <c r="J192" i="3"/>
  <c r="J209" i="3" s="1"/>
  <c r="L190" i="3"/>
  <c r="H183" i="3"/>
  <c r="H200" i="3" s="1"/>
  <c r="G183" i="3"/>
  <c r="G200" i="3" s="1"/>
  <c r="K183" i="3"/>
  <c r="K200" i="3" s="1"/>
  <c r="L192" i="3"/>
  <c r="L209" i="3" s="1"/>
  <c r="M184" i="3"/>
  <c r="M201" i="3" s="1"/>
  <c r="I185" i="3"/>
  <c r="I202" i="3" s="1"/>
  <c r="K184" i="3"/>
  <c r="K201" i="3" s="1"/>
  <c r="M39" i="27"/>
  <c r="M156" i="16" s="1"/>
  <c r="M19" i="24"/>
  <c r="N71" i="38"/>
  <c r="O7" i="38" s="1"/>
  <c r="L11" i="16"/>
  <c r="L41" i="27"/>
  <c r="L155" i="16" s="1"/>
  <c r="K157" i="16"/>
  <c r="K237" i="16" s="1"/>
  <c r="O41" i="26"/>
  <c r="O83" i="16" s="1"/>
  <c r="O190" i="11"/>
  <c r="O345" i="11" s="1"/>
  <c r="O347" i="11" s="1"/>
  <c r="P183" i="11" s="1"/>
  <c r="P187" i="11" s="1"/>
  <c r="P60" i="3"/>
  <c r="P62" i="3" s="1"/>
  <c r="O10" i="38"/>
  <c r="O14" i="38" s="1"/>
  <c r="O69" i="38" s="1"/>
  <c r="O58" i="28"/>
  <c r="O116" i="28" s="1"/>
  <c r="P143" i="38"/>
  <c r="H203" i="3"/>
  <c r="H60" i="3"/>
  <c r="H62" i="3" s="1"/>
  <c r="O60" i="3"/>
  <c r="O62" i="3" s="1"/>
  <c r="P10" i="11"/>
  <c r="P14" i="11" s="1"/>
  <c r="P169" i="11" s="1"/>
  <c r="P171" i="11" s="1"/>
  <c r="P40" i="28"/>
  <c r="P89" i="28" s="1"/>
  <c r="P67" i="38"/>
  <c r="P201" i="3"/>
  <c r="I209" i="3"/>
  <c r="I60" i="3"/>
  <c r="I62" i="3" s="1"/>
  <c r="O163" i="38"/>
  <c r="O175" i="38"/>
  <c r="O176" i="38" s="1"/>
  <c r="P162" i="38"/>
  <c r="J201" i="3"/>
  <c r="J60" i="3"/>
  <c r="J62" i="3" s="1"/>
  <c r="G60" i="3"/>
  <c r="G62" i="3" s="1"/>
  <c r="L202" i="3"/>
  <c r="L60" i="3"/>
  <c r="L62" i="3" s="1"/>
  <c r="O145" i="38"/>
  <c r="O147" i="38" s="1"/>
  <c r="P83" i="38" s="1"/>
  <c r="P87" i="38" s="1"/>
  <c r="P90" i="38" s="1"/>
  <c r="M202" i="3"/>
  <c r="K208" i="3"/>
  <c r="K60" i="3"/>
  <c r="K62" i="3" s="1"/>
  <c r="P380" i="11"/>
  <c r="P382" i="11" s="1"/>
  <c r="P365" i="11"/>
  <c r="N60" i="3"/>
  <c r="N62" i="3" s="1"/>
  <c r="H14" i="24"/>
  <c r="I12" i="24"/>
  <c r="I13" i="24"/>
  <c r="I157" i="16"/>
  <c r="I237" i="16" s="1"/>
  <c r="O114" i="28" l="1"/>
  <c r="O168" i="16" s="1"/>
  <c r="O169" i="16" s="1"/>
  <c r="P56" i="28"/>
  <c r="P114" i="28" s="1"/>
  <c r="N39" i="27"/>
  <c r="N156" i="16" s="1"/>
  <c r="N19" i="24"/>
  <c r="O71" i="38"/>
  <c r="P7" i="38" s="1"/>
  <c r="M11" i="16"/>
  <c r="M41" i="27"/>
  <c r="M155" i="16" s="1"/>
  <c r="L157" i="16"/>
  <c r="L237" i="16" s="1"/>
  <c r="P41" i="26"/>
  <c r="P83" i="16" s="1"/>
  <c r="P190" i="11"/>
  <c r="P345" i="11" s="1"/>
  <c r="P347" i="11" s="1"/>
  <c r="P145" i="38"/>
  <c r="P147" i="38" s="1"/>
  <c r="P193" i="3"/>
  <c r="P164" i="16" s="1"/>
  <c r="P165" i="16" s="1"/>
  <c r="P210" i="3"/>
  <c r="P57" i="28" s="1"/>
  <c r="P115" i="28" s="1"/>
  <c r="P187" i="3"/>
  <c r="N207" i="3"/>
  <c r="N210" i="3" s="1"/>
  <c r="N57" i="28" s="1"/>
  <c r="N193" i="3"/>
  <c r="N164" i="16" s="1"/>
  <c r="N165" i="16" s="1"/>
  <c r="O207" i="3"/>
  <c r="O210" i="3" s="1"/>
  <c r="O57" i="28" s="1"/>
  <c r="O193" i="3"/>
  <c r="O164" i="16" s="1"/>
  <c r="O165" i="16" s="1"/>
  <c r="N199" i="3"/>
  <c r="N204" i="3" s="1"/>
  <c r="N187" i="3"/>
  <c r="J199" i="3"/>
  <c r="J204" i="3" s="1"/>
  <c r="J187" i="3"/>
  <c r="P175" i="38"/>
  <c r="P176" i="38" s="1"/>
  <c r="P163" i="38"/>
  <c r="L193" i="3"/>
  <c r="L164" i="16" s="1"/>
  <c r="L165" i="16" s="1"/>
  <c r="L207" i="3"/>
  <c r="L210" i="3" s="1"/>
  <c r="L57" i="28" s="1"/>
  <c r="I207" i="3"/>
  <c r="I210" i="3" s="1"/>
  <c r="I57" i="28" s="1"/>
  <c r="I193" i="3"/>
  <c r="I164" i="16" s="1"/>
  <c r="I165" i="16" s="1"/>
  <c r="K207" i="3"/>
  <c r="K210" i="3" s="1"/>
  <c r="K57" i="28" s="1"/>
  <c r="K193" i="3"/>
  <c r="K164" i="16" s="1"/>
  <c r="K165" i="16" s="1"/>
  <c r="M199" i="3"/>
  <c r="M204" i="3" s="1"/>
  <c r="M187" i="3"/>
  <c r="I199" i="3"/>
  <c r="I204" i="3" s="1"/>
  <c r="I187" i="3"/>
  <c r="P204" i="3"/>
  <c r="P39" i="28" s="1"/>
  <c r="P88" i="28" s="1"/>
  <c r="K199" i="3"/>
  <c r="K204" i="3" s="1"/>
  <c r="K187" i="3"/>
  <c r="G207" i="3"/>
  <c r="G210" i="3" s="1"/>
  <c r="G57" i="28" s="1"/>
  <c r="G193" i="3"/>
  <c r="G164" i="16" s="1"/>
  <c r="G165" i="16" s="1"/>
  <c r="P10" i="38"/>
  <c r="P14" i="38" s="1"/>
  <c r="P69" i="38" s="1"/>
  <c r="P58" i="28"/>
  <c r="P116" i="28" s="1"/>
  <c r="H207" i="3"/>
  <c r="H210" i="3" s="1"/>
  <c r="H57" i="28" s="1"/>
  <c r="H193" i="3"/>
  <c r="H164" i="16" s="1"/>
  <c r="H165" i="16" s="1"/>
  <c r="L199" i="3"/>
  <c r="L204" i="3" s="1"/>
  <c r="L187" i="3"/>
  <c r="J193" i="3"/>
  <c r="J164" i="16" s="1"/>
  <c r="J165" i="16" s="1"/>
  <c r="J207" i="3"/>
  <c r="J210" i="3" s="1"/>
  <c r="J57" i="28" s="1"/>
  <c r="G199" i="3"/>
  <c r="G204" i="3" s="1"/>
  <c r="G39" i="28" s="1"/>
  <c r="G88" i="28" s="1"/>
  <c r="G187" i="3"/>
  <c r="H199" i="3"/>
  <c r="H204" i="3" s="1"/>
  <c r="H187" i="3"/>
  <c r="M193" i="3"/>
  <c r="M164" i="16" s="1"/>
  <c r="M165" i="16" s="1"/>
  <c r="M207" i="3"/>
  <c r="M210" i="3" s="1"/>
  <c r="M57" i="28" s="1"/>
  <c r="O199" i="3"/>
  <c r="O204" i="3" s="1"/>
  <c r="O187" i="3"/>
  <c r="I14" i="24"/>
  <c r="O59" i="28" l="1"/>
  <c r="O115" i="28"/>
  <c r="N59" i="28"/>
  <c r="N115" i="28"/>
  <c r="M59" i="28"/>
  <c r="M115" i="28"/>
  <c r="L59" i="28"/>
  <c r="L115" i="28"/>
  <c r="K59" i="28"/>
  <c r="K115" i="28"/>
  <c r="J59" i="28"/>
  <c r="J115" i="28"/>
  <c r="I59" i="28"/>
  <c r="I115" i="28"/>
  <c r="H59" i="28"/>
  <c r="H115" i="28"/>
  <c r="G59" i="28"/>
  <c r="G115" i="28"/>
  <c r="G117" i="28" s="1"/>
  <c r="G160" i="16" s="1"/>
  <c r="P71" i="38"/>
  <c r="P168" i="16"/>
  <c r="P169" i="16" s="1"/>
  <c r="O39" i="27"/>
  <c r="O156" i="16" s="1"/>
  <c r="O19" i="24"/>
  <c r="N11" i="16"/>
  <c r="N41" i="27"/>
  <c r="N155" i="16" s="1"/>
  <c r="M157" i="16"/>
  <c r="M237" i="16" s="1"/>
  <c r="P59" i="28"/>
  <c r="P195" i="3"/>
  <c r="P91" i="16"/>
  <c r="P92" i="16" s="1"/>
  <c r="P212" i="3"/>
  <c r="N39" i="28"/>
  <c r="N88" i="28" s="1"/>
  <c r="N212" i="3"/>
  <c r="H39" i="28"/>
  <c r="H88" i="28" s="1"/>
  <c r="H212" i="3"/>
  <c r="M195" i="3"/>
  <c r="M91" i="16"/>
  <c r="J39" i="28"/>
  <c r="J88" i="28" s="1"/>
  <c r="J212" i="3"/>
  <c r="O195" i="3"/>
  <c r="O91" i="16"/>
  <c r="L195" i="3"/>
  <c r="L91" i="16"/>
  <c r="K91" i="16"/>
  <c r="K195" i="3"/>
  <c r="M39" i="28"/>
  <c r="M88" i="28" s="1"/>
  <c r="M212" i="3"/>
  <c r="N195" i="3"/>
  <c r="N91" i="16"/>
  <c r="O212" i="3"/>
  <c r="O39" i="28"/>
  <c r="O88" i="28" s="1"/>
  <c r="L212" i="3"/>
  <c r="L39" i="28"/>
  <c r="L88" i="28" s="1"/>
  <c r="K212" i="3"/>
  <c r="K39" i="28"/>
  <c r="K88" i="28" s="1"/>
  <c r="J195" i="3"/>
  <c r="J91" i="16"/>
  <c r="I91" i="16"/>
  <c r="I195" i="3"/>
  <c r="G212" i="3"/>
  <c r="H91" i="16"/>
  <c r="H195" i="3"/>
  <c r="G195" i="3"/>
  <c r="G91" i="16"/>
  <c r="I39" i="28"/>
  <c r="I88" i="28" s="1"/>
  <c r="I212" i="3"/>
  <c r="P117" i="28" l="1"/>
  <c r="P39" i="27"/>
  <c r="P156" i="16" s="1"/>
  <c r="P19" i="24"/>
  <c r="O11" i="16"/>
  <c r="O41" i="27"/>
  <c r="O155" i="16" s="1"/>
  <c r="N157" i="16"/>
  <c r="N237" i="16" s="1"/>
  <c r="P19" i="16"/>
  <c r="P20" i="16" s="1"/>
  <c r="J19" i="16"/>
  <c r="J20" i="16" s="1"/>
  <c r="J92" i="16"/>
  <c r="N19" i="16"/>
  <c r="N20" i="16" s="1"/>
  <c r="N92" i="16"/>
  <c r="O92" i="16"/>
  <c r="O19" i="16"/>
  <c r="O20" i="16" s="1"/>
  <c r="L19" i="16"/>
  <c r="L20" i="16" s="1"/>
  <c r="L92" i="16"/>
  <c r="H19" i="16"/>
  <c r="H20" i="16" s="1"/>
  <c r="H92" i="16"/>
  <c r="K117" i="28"/>
  <c r="K160" i="16" s="1"/>
  <c r="H117" i="28"/>
  <c r="G92" i="16"/>
  <c r="G19" i="16"/>
  <c r="G20" i="16" s="1"/>
  <c r="L117" i="28"/>
  <c r="L160" i="16" s="1"/>
  <c r="M117" i="28"/>
  <c r="M160" i="16" s="1"/>
  <c r="N117" i="28"/>
  <c r="N160" i="16" s="1"/>
  <c r="I19" i="16"/>
  <c r="I20" i="16" s="1"/>
  <c r="I92" i="16"/>
  <c r="J117" i="28"/>
  <c r="J160" i="16" s="1"/>
  <c r="I117" i="28"/>
  <c r="O117" i="28"/>
  <c r="O160" i="16" s="1"/>
  <c r="K19" i="16"/>
  <c r="K20" i="16" s="1"/>
  <c r="K92" i="16"/>
  <c r="M19" i="16"/>
  <c r="M20" i="16" s="1"/>
  <c r="M92" i="16"/>
  <c r="G187" i="16"/>
  <c r="G188" i="16" s="1"/>
  <c r="G190" i="16" s="1"/>
  <c r="G171" i="16"/>
  <c r="H160" i="16" l="1"/>
  <c r="H187" i="16" s="1"/>
  <c r="H188" i="16" s="1"/>
  <c r="H190" i="16" s="1"/>
  <c r="I160" i="16"/>
  <c r="I187" i="16" s="1"/>
  <c r="I188" i="16" s="1"/>
  <c r="I190" i="16" s="1"/>
  <c r="P160" i="16"/>
  <c r="P171" i="16" s="1"/>
  <c r="P11" i="16"/>
  <c r="P41" i="27"/>
  <c r="P155" i="16" s="1"/>
  <c r="O157" i="16"/>
  <c r="O237" i="16" s="1"/>
  <c r="N187" i="16"/>
  <c r="N188" i="16" s="1"/>
  <c r="N190" i="16" s="1"/>
  <c r="N171" i="16"/>
  <c r="K187" i="16"/>
  <c r="K188" i="16" s="1"/>
  <c r="K190" i="16" s="1"/>
  <c r="K171" i="16"/>
  <c r="O171" i="16"/>
  <c r="O187" i="16"/>
  <c r="O188" i="16" s="1"/>
  <c r="O190" i="16" s="1"/>
  <c r="J187" i="16"/>
  <c r="J188" i="16" s="1"/>
  <c r="J190" i="16" s="1"/>
  <c r="J171" i="16"/>
  <c r="M187" i="16"/>
  <c r="M188" i="16" s="1"/>
  <c r="M190" i="16" s="1"/>
  <c r="M171" i="16"/>
  <c r="L187" i="16"/>
  <c r="L188" i="16" s="1"/>
  <c r="L190" i="16" s="1"/>
  <c r="L171" i="16"/>
  <c r="G181" i="16"/>
  <c r="G238" i="16"/>
  <c r="G239" i="16" s="1"/>
  <c r="G240" i="16" s="1"/>
  <c r="G173" i="16"/>
  <c r="G175" i="16" s="1"/>
  <c r="I171" i="16" l="1"/>
  <c r="I181" i="16" s="1"/>
  <c r="H171" i="16"/>
  <c r="H173" i="16" s="1"/>
  <c r="P238" i="16"/>
  <c r="P181" i="16"/>
  <c r="P157" i="16"/>
  <c r="P187" i="16"/>
  <c r="P188" i="16" s="1"/>
  <c r="P190" i="16" s="1"/>
  <c r="M238" i="16"/>
  <c r="M173" i="16"/>
  <c r="M181" i="16"/>
  <c r="N238" i="16"/>
  <c r="N173" i="16"/>
  <c r="N181" i="16"/>
  <c r="O238" i="16"/>
  <c r="O239" i="16" s="1"/>
  <c r="O240" i="16" s="1"/>
  <c r="O181" i="16"/>
  <c r="O173" i="16"/>
  <c r="L238" i="16"/>
  <c r="L173" i="16"/>
  <c r="L181" i="16"/>
  <c r="K181" i="16"/>
  <c r="K238" i="16"/>
  <c r="K173" i="16"/>
  <c r="J181" i="16"/>
  <c r="J238" i="16"/>
  <c r="J173" i="16"/>
  <c r="G180" i="16"/>
  <c r="G179" i="16"/>
  <c r="H152" i="16"/>
  <c r="G183" i="16"/>
  <c r="G185" i="16" s="1"/>
  <c r="I173" i="16" l="1"/>
  <c r="I238" i="16"/>
  <c r="I239" i="16" s="1"/>
  <c r="I240" i="16" s="1"/>
  <c r="H238" i="16"/>
  <c r="H239" i="16" s="1"/>
  <c r="H240" i="16" s="1"/>
  <c r="H175" i="16"/>
  <c r="H183" i="16" s="1"/>
  <c r="H185" i="16" s="1"/>
  <c r="H181" i="16"/>
  <c r="P237" i="16"/>
  <c r="P173" i="16"/>
  <c r="N239" i="16"/>
  <c r="N240" i="16" s="1"/>
  <c r="L239" i="16"/>
  <c r="L240" i="16" s="1"/>
  <c r="J239" i="16"/>
  <c r="J240" i="16" s="1"/>
  <c r="K239" i="16"/>
  <c r="K240" i="16" s="1"/>
  <c r="M239" i="16"/>
  <c r="M240" i="16" s="1"/>
  <c r="H179" i="16" l="1"/>
  <c r="I152" i="16"/>
  <c r="I175" i="16" s="1"/>
  <c r="J152" i="16" s="1"/>
  <c r="J175" i="16" s="1"/>
  <c r="K152" i="16" s="1"/>
  <c r="K175" i="16" s="1"/>
  <c r="H180" i="16"/>
  <c r="P239" i="16"/>
  <c r="P240" i="16" s="1"/>
  <c r="I180" i="16" l="1"/>
  <c r="J179" i="16"/>
  <c r="I183" i="16"/>
  <c r="I185" i="16" s="1"/>
  <c r="J183" i="16"/>
  <c r="J185" i="16" s="1"/>
  <c r="I179" i="16"/>
  <c r="J180" i="16"/>
  <c r="K183" i="16"/>
  <c r="K185" i="16" s="1"/>
  <c r="K180" i="16"/>
  <c r="K179" i="16"/>
  <c r="L152" i="16"/>
  <c r="L175" i="16" s="1"/>
  <c r="M152" i="16" l="1"/>
  <c r="M175" i="16" s="1"/>
  <c r="L180" i="16"/>
  <c r="L183" i="16"/>
  <c r="L185" i="16" s="1"/>
  <c r="L179" i="16"/>
  <c r="M183" i="16" l="1"/>
  <c r="M185" i="16" s="1"/>
  <c r="M179" i="16"/>
  <c r="N152" i="16"/>
  <c r="N175" i="16" s="1"/>
  <c r="M180" i="16"/>
  <c r="N180" i="16" l="1"/>
  <c r="O152" i="16"/>
  <c r="O175" i="16" s="1"/>
  <c r="N183" i="16"/>
  <c r="N185" i="16" s="1"/>
  <c r="N179" i="16"/>
  <c r="P152" i="16" l="1"/>
  <c r="P175" i="16" s="1"/>
  <c r="O179" i="16"/>
  <c r="O180" i="16"/>
  <c r="O183" i="16"/>
  <c r="O185" i="16" s="1"/>
  <c r="P183" i="16" l="1"/>
  <c r="P185" i="16" s="1"/>
  <c r="P180" i="16"/>
  <c r="P179" i="16"/>
  <c r="B50" i="3" l="1"/>
  <c r="E141" i="1" l="1"/>
  <c r="F141" i="1"/>
  <c r="E150" i="1"/>
  <c r="F150" i="1"/>
  <c r="E179" i="1"/>
  <c r="F179" i="1"/>
  <c r="E188" i="1"/>
  <c r="F188" i="1"/>
  <c r="O76" i="1"/>
  <c r="O269" i="1" s="1"/>
  <c r="O209" i="26" s="1"/>
  <c r="G77" i="1"/>
  <c r="G275" i="1" s="1"/>
  <c r="G215" i="26" s="1"/>
  <c r="G76" i="1"/>
  <c r="H77" i="1"/>
  <c r="H278" i="1" s="1"/>
  <c r="H218" i="26" s="1"/>
  <c r="M76" i="1"/>
  <c r="M265" i="1" s="1"/>
  <c r="M205" i="26" s="1"/>
  <c r="F76" i="1"/>
  <c r="F267" i="1" s="1"/>
  <c r="F207" i="26" s="1"/>
  <c r="H76" i="1"/>
  <c r="H264" i="1" s="1"/>
  <c r="H204" i="26" s="1"/>
  <c r="I77" i="1"/>
  <c r="I275" i="1" s="1"/>
  <c r="I215" i="26" s="1"/>
  <c r="M77" i="1"/>
  <c r="M276" i="1" s="1"/>
  <c r="M216" i="26" s="1"/>
  <c r="N76" i="1"/>
  <c r="N268" i="1" s="1"/>
  <c r="N208" i="26" s="1"/>
  <c r="F77" i="1"/>
  <c r="F273" i="1" s="1"/>
  <c r="I76" i="1"/>
  <c r="I268" i="1" s="1"/>
  <c r="I208" i="26" s="1"/>
  <c r="J77" i="1"/>
  <c r="J278" i="1" s="1"/>
  <c r="J218" i="26" s="1"/>
  <c r="L76" i="1"/>
  <c r="L267" i="1" s="1"/>
  <c r="L207" i="26" s="1"/>
  <c r="P76" i="1"/>
  <c r="P264" i="1" s="1"/>
  <c r="P204" i="26" s="1"/>
  <c r="J76" i="1"/>
  <c r="J266" i="1" s="1"/>
  <c r="J206" i="26" s="1"/>
  <c r="K77" i="1"/>
  <c r="K274" i="1" s="1"/>
  <c r="K214" i="26" s="1"/>
  <c r="K76" i="1"/>
  <c r="L77" i="1"/>
  <c r="L278" i="1" s="1"/>
  <c r="L218" i="26" s="1"/>
  <c r="N77" i="1"/>
  <c r="N278" i="1" s="1"/>
  <c r="N218" i="26" s="1"/>
  <c r="O77" i="1"/>
  <c r="O275" i="1" s="1"/>
  <c r="O215" i="26" s="1"/>
  <c r="P77" i="1"/>
  <c r="P275" i="1" s="1"/>
  <c r="P215" i="26" s="1"/>
  <c r="G80" i="1" l="1"/>
  <c r="G86" i="1" s="1"/>
  <c r="G66" i="1" s="1"/>
  <c r="K80" i="1"/>
  <c r="K86" i="1" s="1"/>
  <c r="K66" i="1" s="1"/>
  <c r="F265" i="1"/>
  <c r="F205" i="26" s="1"/>
  <c r="I276" i="1"/>
  <c r="I216" i="26" s="1"/>
  <c r="I264" i="1"/>
  <c r="I204" i="26" s="1"/>
  <c r="K266" i="1"/>
  <c r="K206" i="26" s="1"/>
  <c r="I266" i="1"/>
  <c r="I206" i="26" s="1"/>
  <c r="N264" i="1"/>
  <c r="N204" i="26" s="1"/>
  <c r="P277" i="1"/>
  <c r="P217" i="26" s="1"/>
  <c r="I277" i="1"/>
  <c r="I217" i="26" s="1"/>
  <c r="N275" i="1"/>
  <c r="N215" i="26" s="1"/>
  <c r="N277" i="1"/>
  <c r="N217" i="26" s="1"/>
  <c r="I273" i="1"/>
  <c r="I213" i="26" s="1"/>
  <c r="N274" i="1"/>
  <c r="N214" i="26" s="1"/>
  <c r="I278" i="1"/>
  <c r="I218" i="26" s="1"/>
  <c r="L80" i="1"/>
  <c r="L86" i="1" s="1"/>
  <c r="L66" i="1" s="1"/>
  <c r="O80" i="1"/>
  <c r="O86" i="1" s="1"/>
  <c r="O66" i="1" s="1"/>
  <c r="H277" i="1"/>
  <c r="H217" i="26" s="1"/>
  <c r="K275" i="1"/>
  <c r="K215" i="26" s="1"/>
  <c r="O278" i="1"/>
  <c r="O218" i="26" s="1"/>
  <c r="J80" i="1"/>
  <c r="J86" i="1" s="1"/>
  <c r="J66" i="1" s="1"/>
  <c r="N276" i="1"/>
  <c r="N216" i="26" s="1"/>
  <c r="M278" i="1"/>
  <c r="M218" i="26" s="1"/>
  <c r="P276" i="1"/>
  <c r="P216" i="26" s="1"/>
  <c r="J268" i="1"/>
  <c r="J208" i="26" s="1"/>
  <c r="L265" i="1"/>
  <c r="L205" i="26" s="1"/>
  <c r="F269" i="1"/>
  <c r="F209" i="26" s="1"/>
  <c r="K264" i="1"/>
  <c r="K204" i="26" s="1"/>
  <c r="I267" i="1"/>
  <c r="I207" i="26" s="1"/>
  <c r="H268" i="1"/>
  <c r="H208" i="26" s="1"/>
  <c r="N267" i="1"/>
  <c r="N207" i="26" s="1"/>
  <c r="N266" i="1"/>
  <c r="N206" i="26" s="1"/>
  <c r="N269" i="1"/>
  <c r="N209" i="26" s="1"/>
  <c r="I269" i="1"/>
  <c r="I209" i="26" s="1"/>
  <c r="P269" i="1"/>
  <c r="P209" i="26" s="1"/>
  <c r="M269" i="1"/>
  <c r="M209" i="26" s="1"/>
  <c r="G267" i="1"/>
  <c r="G207" i="26" s="1"/>
  <c r="G263" i="1"/>
  <c r="J264" i="1"/>
  <c r="J204" i="26" s="1"/>
  <c r="O267" i="1"/>
  <c r="O207" i="26" s="1"/>
  <c r="M263" i="1"/>
  <c r="M264" i="1"/>
  <c r="M204" i="26" s="1"/>
  <c r="G264" i="1"/>
  <c r="G204" i="26" s="1"/>
  <c r="O266" i="1"/>
  <c r="O206" i="26" s="1"/>
  <c r="L266" i="1"/>
  <c r="L206" i="26" s="1"/>
  <c r="H266" i="1"/>
  <c r="H206" i="26" s="1"/>
  <c r="M268" i="1"/>
  <c r="M208" i="26" s="1"/>
  <c r="G268" i="1"/>
  <c r="G208" i="26" s="1"/>
  <c r="O265" i="1"/>
  <c r="O205" i="26" s="1"/>
  <c r="O268" i="1"/>
  <c r="O208" i="26" s="1"/>
  <c r="M266" i="1"/>
  <c r="M206" i="26" s="1"/>
  <c r="G265" i="1"/>
  <c r="G205" i="26" s="1"/>
  <c r="M267" i="1"/>
  <c r="M207" i="26" s="1"/>
  <c r="G269" i="1"/>
  <c r="G209" i="26" s="1"/>
  <c r="K265" i="1"/>
  <c r="K205" i="26" s="1"/>
  <c r="J267" i="1"/>
  <c r="J207" i="26" s="1"/>
  <c r="K268" i="1"/>
  <c r="K208" i="26" s="1"/>
  <c r="J265" i="1"/>
  <c r="J205" i="26" s="1"/>
  <c r="O264" i="1"/>
  <c r="O204" i="26" s="1"/>
  <c r="L269" i="1"/>
  <c r="L209" i="26" s="1"/>
  <c r="K267" i="1"/>
  <c r="K207" i="26" s="1"/>
  <c r="F266" i="1"/>
  <c r="F206" i="26" s="1"/>
  <c r="G266" i="1"/>
  <c r="G206" i="26" s="1"/>
  <c r="F268" i="1"/>
  <c r="F208" i="26" s="1"/>
  <c r="J263" i="1"/>
  <c r="J203" i="26" s="1"/>
  <c r="F213" i="26"/>
  <c r="O274" i="1"/>
  <c r="O214" i="26" s="1"/>
  <c r="K278" i="1"/>
  <c r="K218" i="26" s="1"/>
  <c r="P266" i="1"/>
  <c r="P206" i="26" s="1"/>
  <c r="J277" i="1"/>
  <c r="J217" i="26" s="1"/>
  <c r="P278" i="1"/>
  <c r="P218" i="26" s="1"/>
  <c r="H263" i="1"/>
  <c r="O273" i="1"/>
  <c r="O263" i="1"/>
  <c r="G273" i="1"/>
  <c r="O277" i="1"/>
  <c r="O217" i="26" s="1"/>
  <c r="P265" i="1"/>
  <c r="P205" i="26" s="1"/>
  <c r="J275" i="1"/>
  <c r="J215" i="26" s="1"/>
  <c r="F275" i="1"/>
  <c r="F215" i="26" s="1"/>
  <c r="M274" i="1"/>
  <c r="M214" i="26" s="1"/>
  <c r="H269" i="1"/>
  <c r="H209" i="26" s="1"/>
  <c r="H276" i="1"/>
  <c r="H216" i="26" s="1"/>
  <c r="G276" i="1"/>
  <c r="G216" i="26" s="1"/>
  <c r="H80" i="1"/>
  <c r="H86" i="1" s="1"/>
  <c r="H66" i="1" s="1"/>
  <c r="I80" i="1"/>
  <c r="I86" i="1" s="1"/>
  <c r="I66" i="1" s="1"/>
  <c r="L277" i="1"/>
  <c r="L217" i="26" s="1"/>
  <c r="K277" i="1"/>
  <c r="K217" i="26" s="1"/>
  <c r="P268" i="1"/>
  <c r="P208" i="26" s="1"/>
  <c r="L268" i="1"/>
  <c r="L208" i="26" s="1"/>
  <c r="I265" i="1"/>
  <c r="I205" i="26" s="1"/>
  <c r="N265" i="1"/>
  <c r="N205" i="26" s="1"/>
  <c r="H265" i="1"/>
  <c r="H205" i="26" s="1"/>
  <c r="F264" i="1"/>
  <c r="F204" i="26" s="1"/>
  <c r="H275" i="1"/>
  <c r="H215" i="26" s="1"/>
  <c r="G277" i="1"/>
  <c r="G217" i="26" s="1"/>
  <c r="N273" i="1"/>
  <c r="O276" i="1"/>
  <c r="O216" i="26" s="1"/>
  <c r="J276" i="1"/>
  <c r="J216" i="26" s="1"/>
  <c r="F276" i="1"/>
  <c r="F216" i="26" s="1"/>
  <c r="M277" i="1"/>
  <c r="M217" i="26" s="1"/>
  <c r="L273" i="1"/>
  <c r="M273" i="1"/>
  <c r="K263" i="1"/>
  <c r="I263" i="1"/>
  <c r="M80" i="1"/>
  <c r="M86" i="1" s="1"/>
  <c r="M66" i="1" s="1"/>
  <c r="N80" i="1"/>
  <c r="N86" i="1" s="1"/>
  <c r="N66" i="1" s="1"/>
  <c r="J273" i="1"/>
  <c r="P263" i="1"/>
  <c r="F80" i="1"/>
  <c r="F86" i="1" s="1"/>
  <c r="F66" i="1" s="1"/>
  <c r="L263" i="1"/>
  <c r="L276" i="1"/>
  <c r="L216" i="26" s="1"/>
  <c r="K276" i="1"/>
  <c r="K216" i="26" s="1"/>
  <c r="P267" i="1"/>
  <c r="P207" i="26" s="1"/>
  <c r="J274" i="1"/>
  <c r="J214" i="26" s="1"/>
  <c r="F277" i="1"/>
  <c r="F217" i="26" s="1"/>
  <c r="K273" i="1"/>
  <c r="F263" i="1"/>
  <c r="N263" i="1"/>
  <c r="H267" i="1"/>
  <c r="H207" i="26" s="1"/>
  <c r="P274" i="1"/>
  <c r="P214" i="26" s="1"/>
  <c r="K269" i="1"/>
  <c r="K209" i="26" s="1"/>
  <c r="J269" i="1"/>
  <c r="J209" i="26" s="1"/>
  <c r="L264" i="1"/>
  <c r="L204" i="26" s="1"/>
  <c r="I274" i="1"/>
  <c r="I214" i="26" s="1"/>
  <c r="H274" i="1"/>
  <c r="H214" i="26" s="1"/>
  <c r="G274" i="1"/>
  <c r="G214" i="26" s="1"/>
  <c r="H273" i="1"/>
  <c r="P273" i="1"/>
  <c r="G278" i="1"/>
  <c r="G218" i="26" s="1"/>
  <c r="L275" i="1"/>
  <c r="L215" i="26" s="1"/>
  <c r="F278" i="1"/>
  <c r="F218" i="26" s="1"/>
  <c r="P80" i="1"/>
  <c r="P86" i="1" s="1"/>
  <c r="P66" i="1" s="1"/>
  <c r="L274" i="1"/>
  <c r="L214" i="26" s="1"/>
  <c r="M275" i="1"/>
  <c r="M215" i="26" s="1"/>
  <c r="F274" i="1"/>
  <c r="F214" i="26" s="1"/>
  <c r="M270" i="1" l="1"/>
  <c r="M203" i="26"/>
  <c r="M210" i="26" s="1"/>
  <c r="M17" i="26" s="1"/>
  <c r="G203" i="26"/>
  <c r="G210" i="26" s="1"/>
  <c r="G270" i="1"/>
  <c r="P279" i="1"/>
  <c r="P213" i="26"/>
  <c r="P219" i="26" s="1"/>
  <c r="P18" i="26" s="1"/>
  <c r="M213" i="26"/>
  <c r="M219" i="26" s="1"/>
  <c r="M279" i="1"/>
  <c r="M299" i="1" s="1"/>
  <c r="M306" i="1" s="1"/>
  <c r="J270" i="1"/>
  <c r="F219" i="26"/>
  <c r="F18" i="26" s="1"/>
  <c r="K213" i="26"/>
  <c r="K219" i="26" s="1"/>
  <c r="K18" i="26" s="1"/>
  <c r="K279" i="1"/>
  <c r="L213" i="26"/>
  <c r="L219" i="26" s="1"/>
  <c r="L18" i="26" s="1"/>
  <c r="L279" i="1"/>
  <c r="F279" i="1"/>
  <c r="G279" i="1"/>
  <c r="G213" i="26"/>
  <c r="G219" i="26" s="1"/>
  <c r="G18" i="26" s="1"/>
  <c r="I279" i="1"/>
  <c r="K270" i="1"/>
  <c r="K203" i="26"/>
  <c r="K210" i="26" s="1"/>
  <c r="N213" i="26"/>
  <c r="N219" i="26" s="1"/>
  <c r="N18" i="26" s="1"/>
  <c r="N279" i="1"/>
  <c r="I219" i="26"/>
  <c r="I18" i="26" s="1"/>
  <c r="O203" i="26"/>
  <c r="O210" i="26" s="1"/>
  <c r="O270" i="1"/>
  <c r="H279" i="1"/>
  <c r="H213" i="26"/>
  <c r="H219" i="26" s="1"/>
  <c r="H18" i="26" s="1"/>
  <c r="L270" i="1"/>
  <c r="L203" i="26"/>
  <c r="L210" i="26" s="1"/>
  <c r="P270" i="1"/>
  <c r="P203" i="26"/>
  <c r="P210" i="26" s="1"/>
  <c r="J213" i="26"/>
  <c r="J219" i="26" s="1"/>
  <c r="J18" i="26" s="1"/>
  <c r="J279" i="1"/>
  <c r="O279" i="1"/>
  <c r="O213" i="26"/>
  <c r="O219" i="26" s="1"/>
  <c r="O18" i="26" s="1"/>
  <c r="N203" i="26"/>
  <c r="N210" i="26" s="1"/>
  <c r="N270" i="1"/>
  <c r="H270" i="1"/>
  <c r="H203" i="26"/>
  <c r="H210" i="26" s="1"/>
  <c r="F203" i="26"/>
  <c r="F210" i="26" s="1"/>
  <c r="F270" i="1"/>
  <c r="J210" i="26"/>
  <c r="I270" i="1"/>
  <c r="I203" i="26"/>
  <c r="I210" i="26" s="1"/>
  <c r="F299" i="1" l="1"/>
  <c r="F306" i="1" s="1"/>
  <c r="G239" i="26"/>
  <c r="G245" i="26" s="1"/>
  <c r="G17" i="26"/>
  <c r="G21" i="26" s="1"/>
  <c r="G23" i="26" s="1"/>
  <c r="G43" i="26" s="1"/>
  <c r="G82" i="16" s="1"/>
  <c r="P299" i="1"/>
  <c r="P306" i="1" s="1"/>
  <c r="L299" i="1"/>
  <c r="L306" i="1" s="1"/>
  <c r="G299" i="1"/>
  <c r="G306" i="1" s="1"/>
  <c r="H299" i="1"/>
  <c r="H306" i="1" s="1"/>
  <c r="K299" i="1"/>
  <c r="K306" i="1" s="1"/>
  <c r="N299" i="1"/>
  <c r="N306" i="1" s="1"/>
  <c r="O299" i="1"/>
  <c r="O306" i="1" s="1"/>
  <c r="H239" i="26"/>
  <c r="H245" i="26" s="1"/>
  <c r="H17" i="26"/>
  <c r="H21" i="26" s="1"/>
  <c r="H23" i="26" s="1"/>
  <c r="N17" i="26"/>
  <c r="N21" i="26" s="1"/>
  <c r="N23" i="26" s="1"/>
  <c r="N239" i="26"/>
  <c r="N245" i="26" s="1"/>
  <c r="O239" i="26"/>
  <c r="O245" i="26" s="1"/>
  <c r="O17" i="26"/>
  <c r="O21" i="26" s="1"/>
  <c r="O23" i="26" s="1"/>
  <c r="J299" i="1"/>
  <c r="J306" i="1" s="1"/>
  <c r="I17" i="26"/>
  <c r="I21" i="26" s="1"/>
  <c r="I23" i="26" s="1"/>
  <c r="I239" i="26"/>
  <c r="I245" i="26" s="1"/>
  <c r="I299" i="1"/>
  <c r="I306" i="1" s="1"/>
  <c r="K239" i="26"/>
  <c r="K245" i="26" s="1"/>
  <c r="K17" i="26"/>
  <c r="K21" i="26" s="1"/>
  <c r="K23" i="26" s="1"/>
  <c r="J17" i="26"/>
  <c r="J21" i="26" s="1"/>
  <c r="J23" i="26" s="1"/>
  <c r="J239" i="26"/>
  <c r="J245" i="26" s="1"/>
  <c r="P17" i="26"/>
  <c r="P21" i="26" s="1"/>
  <c r="P23" i="26" s="1"/>
  <c r="P239" i="26"/>
  <c r="P245" i="26" s="1"/>
  <c r="M18" i="26"/>
  <c r="M21" i="26" s="1"/>
  <c r="M23" i="26" s="1"/>
  <c r="M239" i="26"/>
  <c r="M245" i="26" s="1"/>
  <c r="F17" i="26"/>
  <c r="F21" i="26" s="1"/>
  <c r="F23" i="26" s="1"/>
  <c r="F239" i="26"/>
  <c r="F245" i="26" s="1"/>
  <c r="L17" i="26"/>
  <c r="L21" i="26" s="1"/>
  <c r="L23" i="26" s="1"/>
  <c r="L239" i="26"/>
  <c r="L245" i="26" s="1"/>
  <c r="G7" i="24" l="1"/>
  <c r="G84" i="16"/>
  <c r="G10" i="16"/>
  <c r="O7" i="24"/>
  <c r="O9" i="24" s="1"/>
  <c r="O21" i="24" s="1"/>
  <c r="O43" i="26"/>
  <c r="O82" i="16" s="1"/>
  <c r="L7" i="24"/>
  <c r="L9" i="24" s="1"/>
  <c r="L21" i="24" s="1"/>
  <c r="L43" i="26"/>
  <c r="L82" i="16" s="1"/>
  <c r="I7" i="24"/>
  <c r="I9" i="24" s="1"/>
  <c r="I21" i="24" s="1"/>
  <c r="I43" i="26"/>
  <c r="I82" i="16" s="1"/>
  <c r="F7" i="24"/>
  <c r="F9" i="24" s="1"/>
  <c r="F21" i="24" s="1"/>
  <c r="F43" i="26"/>
  <c r="F82" i="16" s="1"/>
  <c r="N43" i="26"/>
  <c r="N82" i="16" s="1"/>
  <c r="N7" i="24"/>
  <c r="N9" i="24" s="1"/>
  <c r="N21" i="24" s="1"/>
  <c r="M43" i="26"/>
  <c r="M82" i="16" s="1"/>
  <c r="M7" i="24"/>
  <c r="M9" i="24" s="1"/>
  <c r="M21" i="24" s="1"/>
  <c r="J7" i="24"/>
  <c r="J9" i="24" s="1"/>
  <c r="J21" i="24" s="1"/>
  <c r="J43" i="26"/>
  <c r="J82" i="16" s="1"/>
  <c r="K43" i="26"/>
  <c r="K82" i="16" s="1"/>
  <c r="K7" i="24"/>
  <c r="K9" i="24" s="1"/>
  <c r="K21" i="24" s="1"/>
  <c r="H7" i="24"/>
  <c r="H9" i="24" s="1"/>
  <c r="H21" i="24" s="1"/>
  <c r="H43" i="26"/>
  <c r="H82" i="16" s="1"/>
  <c r="P7" i="24"/>
  <c r="P9" i="24" s="1"/>
  <c r="P21" i="24" s="1"/>
  <c r="P43" i="26"/>
  <c r="P82" i="16" s="1"/>
  <c r="G9" i="24" l="1"/>
  <c r="G21" i="24" s="1"/>
  <c r="G24" i="24" s="1"/>
  <c r="G38" i="28"/>
  <c r="G87" i="28" s="1"/>
  <c r="F24" i="24"/>
  <c r="F10" i="16"/>
  <c r="F114" i="16"/>
  <c r="F115" i="16" s="1"/>
  <c r="F117" i="16" s="1"/>
  <c r="F84" i="16"/>
  <c r="N10" i="16"/>
  <c r="N84" i="16"/>
  <c r="L84" i="16"/>
  <c r="L10" i="16"/>
  <c r="P10" i="16"/>
  <c r="P84" i="16"/>
  <c r="J10" i="16"/>
  <c r="J84" i="16"/>
  <c r="O84" i="16"/>
  <c r="O10" i="16"/>
  <c r="I10" i="16"/>
  <c r="I84" i="16"/>
  <c r="K10" i="16"/>
  <c r="K84" i="16"/>
  <c r="G12" i="16"/>
  <c r="M84" i="16"/>
  <c r="M10" i="16"/>
  <c r="G231" i="16"/>
  <c r="H10" i="16"/>
  <c r="H84" i="16"/>
  <c r="G41" i="28" l="1"/>
  <c r="G61" i="28" s="1"/>
  <c r="H38" i="28"/>
  <c r="H87" i="28" s="1"/>
  <c r="G95" i="16"/>
  <c r="G90" i="28"/>
  <c r="G87" i="16" s="1"/>
  <c r="P12" i="16"/>
  <c r="K12" i="16"/>
  <c r="H231" i="16"/>
  <c r="I231" i="16"/>
  <c r="H12" i="16"/>
  <c r="L12" i="16"/>
  <c r="P231" i="16"/>
  <c r="I12" i="16"/>
  <c r="L231" i="16"/>
  <c r="G243" i="16"/>
  <c r="O12" i="16"/>
  <c r="N231" i="16"/>
  <c r="K231" i="16"/>
  <c r="M12" i="16"/>
  <c r="O231" i="16"/>
  <c r="N12" i="16"/>
  <c r="F231" i="16"/>
  <c r="F100" i="16"/>
  <c r="M231" i="16"/>
  <c r="G219" i="16"/>
  <c r="J231" i="16"/>
  <c r="J12" i="16"/>
  <c r="F41" i="16"/>
  <c r="F42" i="16" s="1"/>
  <c r="F44" i="16" s="1"/>
  <c r="F12" i="16"/>
  <c r="H41" i="28" l="1"/>
  <c r="H61" i="28" s="1"/>
  <c r="I38" i="28"/>
  <c r="I41" i="28" s="1"/>
  <c r="I61" i="28" s="1"/>
  <c r="G15" i="16"/>
  <c r="G114" i="16"/>
  <c r="G115" i="16" s="1"/>
  <c r="G117" i="16" s="1"/>
  <c r="G96" i="16"/>
  <c r="G98" i="16" s="1"/>
  <c r="G23" i="16"/>
  <c r="G24" i="16" s="1"/>
  <c r="H95" i="16"/>
  <c r="H90" i="28"/>
  <c r="H87" i="16" s="1"/>
  <c r="G64" i="28"/>
  <c r="O243" i="16"/>
  <c r="I243" i="16"/>
  <c r="K243" i="16"/>
  <c r="N243" i="16"/>
  <c r="J243" i="16"/>
  <c r="M243" i="16"/>
  <c r="L243" i="16"/>
  <c r="H243" i="16"/>
  <c r="G250" i="16"/>
  <c r="F28" i="16"/>
  <c r="F219" i="16"/>
  <c r="F233" i="16"/>
  <c r="F234" i="16" s="1"/>
  <c r="F243" i="16"/>
  <c r="F245" i="16" s="1"/>
  <c r="F246" i="16" s="1"/>
  <c r="P243" i="16"/>
  <c r="I87" i="28" l="1"/>
  <c r="I95" i="16" s="1"/>
  <c r="J38" i="28"/>
  <c r="K38" i="28" s="1"/>
  <c r="G232" i="16"/>
  <c r="G108" i="16"/>
  <c r="G100" i="16"/>
  <c r="G102" i="16" s="1"/>
  <c r="H15" i="16"/>
  <c r="H114" i="16"/>
  <c r="H115" i="16" s="1"/>
  <c r="H117" i="16" s="1"/>
  <c r="H23" i="16"/>
  <c r="H24" i="16" s="1"/>
  <c r="H96" i="16"/>
  <c r="H98" i="16" s="1"/>
  <c r="G26" i="16"/>
  <c r="G41" i="16"/>
  <c r="G42" i="16" s="1"/>
  <c r="G44" i="16" s="1"/>
  <c r="H64" i="28"/>
  <c r="F250" i="16"/>
  <c r="J41" i="28" l="1"/>
  <c r="J61" i="28" s="1"/>
  <c r="J87" i="28"/>
  <c r="I90" i="28"/>
  <c r="I87" i="16" s="1"/>
  <c r="I114" i="16" s="1"/>
  <c r="I115" i="16" s="1"/>
  <c r="I117" i="16" s="1"/>
  <c r="H108" i="16"/>
  <c r="H232" i="16"/>
  <c r="H100" i="16"/>
  <c r="G220" i="16"/>
  <c r="G28" i="16"/>
  <c r="G30" i="16" s="1"/>
  <c r="I96" i="16"/>
  <c r="I23" i="16"/>
  <c r="I24" i="16" s="1"/>
  <c r="H26" i="16"/>
  <c r="H28" i="16" s="1"/>
  <c r="H41" i="16"/>
  <c r="H42" i="16" s="1"/>
  <c r="H44" i="16" s="1"/>
  <c r="G106" i="16"/>
  <c r="H79" i="16"/>
  <c r="G110" i="16"/>
  <c r="G112" i="16" s="1"/>
  <c r="G107" i="16"/>
  <c r="K87" i="28"/>
  <c r="L38" i="28"/>
  <c r="K41" i="28"/>
  <c r="K61" i="28" s="1"/>
  <c r="J95" i="16"/>
  <c r="J90" i="28"/>
  <c r="J87" i="16" s="1"/>
  <c r="G244" i="16"/>
  <c r="G233" i="16"/>
  <c r="G234" i="16" s="1"/>
  <c r="I64" i="28" l="1"/>
  <c r="I98" i="16"/>
  <c r="I108" i="16" s="1"/>
  <c r="I15" i="16"/>
  <c r="I26" i="16" s="1"/>
  <c r="I28" i="16" s="1"/>
  <c r="L87" i="28"/>
  <c r="M38" i="28"/>
  <c r="L41" i="28"/>
  <c r="L61" i="28" s="1"/>
  <c r="G251" i="16"/>
  <c r="G245" i="16"/>
  <c r="G246" i="16" s="1"/>
  <c r="J96" i="16"/>
  <c r="J98" i="16" s="1"/>
  <c r="J23" i="16"/>
  <c r="J24" i="16" s="1"/>
  <c r="G34" i="16"/>
  <c r="G35" i="16"/>
  <c r="G37" i="16"/>
  <c r="G39" i="16" s="1"/>
  <c r="J15" i="16"/>
  <c r="J114" i="16"/>
  <c r="J115" i="16" s="1"/>
  <c r="J117" i="16" s="1"/>
  <c r="K95" i="16"/>
  <c r="K90" i="28"/>
  <c r="K87" i="16" s="1"/>
  <c r="H7" i="16"/>
  <c r="H30" i="16" s="1"/>
  <c r="H102" i="16"/>
  <c r="H244" i="16"/>
  <c r="H245" i="16" s="1"/>
  <c r="H246" i="16" s="1"/>
  <c r="H233" i="16"/>
  <c r="H234" i="16" s="1"/>
  <c r="J64" i="28"/>
  <c r="I41" i="16" l="1"/>
  <c r="I42" i="16" s="1"/>
  <c r="I44" i="16" s="1"/>
  <c r="I100" i="16"/>
  <c r="I232" i="16"/>
  <c r="I233" i="16" s="1"/>
  <c r="I234" i="16" s="1"/>
  <c r="K64" i="28"/>
  <c r="J108" i="16"/>
  <c r="J232" i="16"/>
  <c r="J100" i="16"/>
  <c r="H35" i="16"/>
  <c r="H37" i="16"/>
  <c r="H39" i="16" s="1"/>
  <c r="H34" i="16"/>
  <c r="M87" i="28"/>
  <c r="N38" i="28"/>
  <c r="M41" i="28"/>
  <c r="M61" i="28" s="1"/>
  <c r="K15" i="16"/>
  <c r="K114" i="16"/>
  <c r="K115" i="16" s="1"/>
  <c r="K117" i="16" s="1"/>
  <c r="J26" i="16"/>
  <c r="J28" i="16" s="1"/>
  <c r="J41" i="16"/>
  <c r="J42" i="16" s="1"/>
  <c r="J44" i="16" s="1"/>
  <c r="L95" i="16"/>
  <c r="L90" i="28"/>
  <c r="L87" i="16" s="1"/>
  <c r="H107" i="16"/>
  <c r="I79" i="16"/>
  <c r="H106" i="16"/>
  <c r="H110" i="16"/>
  <c r="H112" i="16" s="1"/>
  <c r="K96" i="16"/>
  <c r="K98" i="16" s="1"/>
  <c r="K23" i="16"/>
  <c r="K24" i="16" s="1"/>
  <c r="I244" i="16" l="1"/>
  <c r="I245" i="16" s="1"/>
  <c r="I246" i="16" s="1"/>
  <c r="L64" i="28"/>
  <c r="K232" i="16"/>
  <c r="K108" i="16"/>
  <c r="K100" i="16"/>
  <c r="K26" i="16"/>
  <c r="K28" i="16" s="1"/>
  <c r="K41" i="16"/>
  <c r="K42" i="16" s="1"/>
  <c r="K44" i="16" s="1"/>
  <c r="N87" i="28"/>
  <c r="O38" i="28"/>
  <c r="N41" i="28"/>
  <c r="N61" i="28" s="1"/>
  <c r="L15" i="16"/>
  <c r="L114" i="16"/>
  <c r="L115" i="16" s="1"/>
  <c r="L117" i="16" s="1"/>
  <c r="L96" i="16"/>
  <c r="L98" i="16" s="1"/>
  <c r="L23" i="16"/>
  <c r="L24" i="16" s="1"/>
  <c r="M95" i="16"/>
  <c r="M90" i="28"/>
  <c r="M87" i="16" s="1"/>
  <c r="I7" i="16"/>
  <c r="I30" i="16" s="1"/>
  <c r="I102" i="16"/>
  <c r="J244" i="16"/>
  <c r="J245" i="16" s="1"/>
  <c r="J246" i="16" s="1"/>
  <c r="J233" i="16"/>
  <c r="J234" i="16" s="1"/>
  <c r="L108" i="16" l="1"/>
  <c r="L232" i="16"/>
  <c r="L100" i="16"/>
  <c r="I34" i="16"/>
  <c r="I35" i="16"/>
  <c r="I37" i="16"/>
  <c r="I39" i="16" s="1"/>
  <c r="M15" i="16"/>
  <c r="M114" i="16"/>
  <c r="M115" i="16" s="1"/>
  <c r="M117" i="16" s="1"/>
  <c r="M96" i="16"/>
  <c r="M98" i="16" s="1"/>
  <c r="M23" i="16"/>
  <c r="M24" i="16" s="1"/>
  <c r="O87" i="28"/>
  <c r="P38" i="28"/>
  <c r="O41" i="28"/>
  <c r="O61" i="28" s="1"/>
  <c r="N95" i="16"/>
  <c r="N90" i="28"/>
  <c r="N87" i="16" s="1"/>
  <c r="L26" i="16"/>
  <c r="L28" i="16" s="1"/>
  <c r="L41" i="16"/>
  <c r="L42" i="16" s="1"/>
  <c r="L44" i="16" s="1"/>
  <c r="I107" i="16"/>
  <c r="J79" i="16"/>
  <c r="I106" i="16"/>
  <c r="I110" i="16"/>
  <c r="I112" i="16" s="1"/>
  <c r="M64" i="28"/>
  <c r="K244" i="16"/>
  <c r="K245" i="16" s="1"/>
  <c r="K246" i="16" s="1"/>
  <c r="K233" i="16"/>
  <c r="K234" i="16" s="1"/>
  <c r="N64" i="28" l="1"/>
  <c r="M232" i="16"/>
  <c r="M108" i="16"/>
  <c r="M100" i="16"/>
  <c r="N15" i="16"/>
  <c r="N114" i="16"/>
  <c r="N115" i="16" s="1"/>
  <c r="N117" i="16" s="1"/>
  <c r="N23" i="16"/>
  <c r="N24" i="16" s="1"/>
  <c r="N96" i="16"/>
  <c r="N98" i="16" s="1"/>
  <c r="J102" i="16"/>
  <c r="J7" i="16"/>
  <c r="J30" i="16" s="1"/>
  <c r="M26" i="16"/>
  <c r="M28" i="16" s="1"/>
  <c r="M41" i="16"/>
  <c r="M42" i="16" s="1"/>
  <c r="M44" i="16" s="1"/>
  <c r="P87" i="28"/>
  <c r="P41" i="28"/>
  <c r="P61" i="28" s="1"/>
  <c r="L244" i="16"/>
  <c r="L245" i="16" s="1"/>
  <c r="L246" i="16" s="1"/>
  <c r="L233" i="16"/>
  <c r="L234" i="16" s="1"/>
  <c r="O95" i="16"/>
  <c r="O90" i="28"/>
  <c r="O87" i="16" s="1"/>
  <c r="O64" i="28" l="1"/>
  <c r="N108" i="16"/>
  <c r="N232" i="16"/>
  <c r="N100" i="16"/>
  <c r="J34" i="16"/>
  <c r="J37" i="16"/>
  <c r="J39" i="16" s="1"/>
  <c r="J35" i="16"/>
  <c r="J107" i="16"/>
  <c r="K79" i="16"/>
  <c r="J110" i="16"/>
  <c r="J112" i="16" s="1"/>
  <c r="J106" i="16"/>
  <c r="O96" i="16"/>
  <c r="O98" i="16" s="1"/>
  <c r="O23" i="16"/>
  <c r="O24" i="16" s="1"/>
  <c r="N26" i="16"/>
  <c r="N28" i="16" s="1"/>
  <c r="N41" i="16"/>
  <c r="N42" i="16" s="1"/>
  <c r="N44" i="16" s="1"/>
  <c r="O15" i="16"/>
  <c r="O114" i="16"/>
  <c r="O115" i="16" s="1"/>
  <c r="O117" i="16" s="1"/>
  <c r="P95" i="16"/>
  <c r="P90" i="28"/>
  <c r="P87" i="16" s="1"/>
  <c r="M244" i="16"/>
  <c r="M245" i="16" s="1"/>
  <c r="M246" i="16" s="1"/>
  <c r="M233" i="16"/>
  <c r="M234" i="16" s="1"/>
  <c r="O232" i="16" l="1"/>
  <c r="O108" i="16"/>
  <c r="O100" i="16"/>
  <c r="P15" i="16"/>
  <c r="P114" i="16"/>
  <c r="P115" i="16" s="1"/>
  <c r="P117" i="16" s="1"/>
  <c r="K7" i="16"/>
  <c r="K30" i="16" s="1"/>
  <c r="K102" i="16"/>
  <c r="O26" i="16"/>
  <c r="O28" i="16" s="1"/>
  <c r="O41" i="16"/>
  <c r="O42" i="16" s="1"/>
  <c r="O44" i="16" s="1"/>
  <c r="P64" i="28"/>
  <c r="N244" i="16"/>
  <c r="N245" i="16" s="1"/>
  <c r="N246" i="16" s="1"/>
  <c r="N233" i="16"/>
  <c r="N234" i="16" s="1"/>
  <c r="P23" i="16"/>
  <c r="P24" i="16" s="1"/>
  <c r="P96" i="16"/>
  <c r="P98" i="16" s="1"/>
  <c r="P108" i="16" l="1"/>
  <c r="P232" i="16"/>
  <c r="P100" i="16"/>
  <c r="K34" i="16"/>
  <c r="K35" i="16"/>
  <c r="K37" i="16"/>
  <c r="K39" i="16" s="1"/>
  <c r="P26" i="16"/>
  <c r="P28" i="16" s="1"/>
  <c r="P41" i="16"/>
  <c r="P42" i="16" s="1"/>
  <c r="P44" i="16" s="1"/>
  <c r="K107" i="16"/>
  <c r="K110" i="16"/>
  <c r="K112" i="16" s="1"/>
  <c r="L79" i="16"/>
  <c r="K106" i="16"/>
  <c r="O244" i="16"/>
  <c r="O245" i="16" s="1"/>
  <c r="O246" i="16" s="1"/>
  <c r="O233" i="16"/>
  <c r="O234" i="16" s="1"/>
  <c r="P244" i="16" l="1"/>
  <c r="P245" i="16" s="1"/>
  <c r="P246" i="16" s="1"/>
  <c r="P233" i="16"/>
  <c r="P234" i="16" s="1"/>
  <c r="L7" i="16"/>
  <c r="L30" i="16" s="1"/>
  <c r="L102" i="16"/>
  <c r="L107" i="16" l="1"/>
  <c r="L110" i="16"/>
  <c r="L112" i="16" s="1"/>
  <c r="L106" i="16"/>
  <c r="M79" i="16"/>
  <c r="L37" i="16"/>
  <c r="L39" i="16" s="1"/>
  <c r="L35" i="16"/>
  <c r="L34" i="16"/>
  <c r="M102" i="16" l="1"/>
  <c r="M7" i="16"/>
  <c r="M30" i="16" s="1"/>
  <c r="M35" i="16" l="1"/>
  <c r="M37" i="16"/>
  <c r="M39" i="16" s="1"/>
  <c r="M34" i="16"/>
  <c r="N79" i="16"/>
  <c r="M110" i="16"/>
  <c r="M112" i="16" s="1"/>
  <c r="M107" i="16"/>
  <c r="M106" i="16"/>
  <c r="N102" i="16" l="1"/>
  <c r="N7" i="16"/>
  <c r="N30" i="16" s="1"/>
  <c r="N34" i="16" l="1"/>
  <c r="N37" i="16"/>
  <c r="N39" i="16" s="1"/>
  <c r="N35" i="16"/>
  <c r="N106" i="16"/>
  <c r="N110" i="16"/>
  <c r="N112" i="16" s="1"/>
  <c r="O79" i="16"/>
  <c r="N107" i="16"/>
  <c r="O102" i="16" l="1"/>
  <c r="O7" i="16"/>
  <c r="O30" i="16" s="1"/>
  <c r="O35" i="16" l="1"/>
  <c r="O37" i="16"/>
  <c r="O39" i="16" s="1"/>
  <c r="O34" i="16"/>
  <c r="P79" i="16"/>
  <c r="O110" i="16"/>
  <c r="O112" i="16" s="1"/>
  <c r="O106" i="16"/>
  <c r="O107" i="16"/>
  <c r="P102" i="16" l="1"/>
  <c r="P7" i="16"/>
  <c r="P30" i="16" s="1"/>
  <c r="P37" i="16" l="1"/>
  <c r="P39" i="16" s="1"/>
  <c r="P34" i="16"/>
  <c r="P35" i="16"/>
  <c r="P106" i="16"/>
  <c r="P107" i="16"/>
  <c r="P110" i="16"/>
  <c r="P112" i="16" s="1"/>
</calcChain>
</file>

<file path=xl/sharedStrings.xml><?xml version="1.0" encoding="utf-8"?>
<sst xmlns="http://schemas.openxmlformats.org/spreadsheetml/2006/main" count="1987" uniqueCount="432">
  <si>
    <t xml:space="preserve">    Outside-City</t>
  </si>
  <si>
    <t>Future Debt Service</t>
  </si>
  <si>
    <t>PS&amp;T</t>
  </si>
  <si>
    <t>TABLE 5</t>
  </si>
  <si>
    <t>Water Demand Charge</t>
  </si>
  <si>
    <t>Total Outside-City Water Use (mg)</t>
  </si>
  <si>
    <t>Total Inside-City Water Use (mg)</t>
  </si>
  <si>
    <t>Avg. Use per Connection</t>
  </si>
  <si>
    <t>Total Inside-City Meters</t>
  </si>
  <si>
    <t>Total Outside-City Meters</t>
  </si>
  <si>
    <t>Total Inside-City New Meters</t>
  </si>
  <si>
    <t>Total Outside-City New Meters</t>
  </si>
  <si>
    <t xml:space="preserve">  Inside-city</t>
  </si>
  <si>
    <t>INSIDE-CITY</t>
  </si>
  <si>
    <t>TOTAL WATER USE (MG)</t>
  </si>
  <si>
    <t xml:space="preserve">        Residential</t>
  </si>
  <si>
    <t>TABLE</t>
  </si>
  <si>
    <t>WATER REVENUES</t>
  </si>
  <si>
    <t>SALES REVENUE</t>
  </si>
  <si>
    <t>Water Sales Revenue</t>
  </si>
  <si>
    <t>OTHER REVENUE</t>
  </si>
  <si>
    <t>Water Other Revenue</t>
  </si>
  <si>
    <t>TRANSFERS IN</t>
  </si>
  <si>
    <t>Water Transfers In</t>
  </si>
  <si>
    <t>TOTAL WATER REVENUE</t>
  </si>
  <si>
    <t>Water Revenue</t>
  </si>
  <si>
    <t>(mg)</t>
  </si>
  <si>
    <t>Total Other Users</t>
  </si>
  <si>
    <t xml:space="preserve">        General Rate</t>
  </si>
  <si>
    <t xml:space="preserve">  Other Potable Water Users</t>
  </si>
  <si>
    <t>Billed Water Use</t>
  </si>
  <si>
    <t>Avg.</t>
  </si>
  <si>
    <t>(gals/mo)</t>
  </si>
  <si>
    <t>Overall Avg. Use</t>
  </si>
  <si>
    <t>Total New Connections</t>
  </si>
  <si>
    <t>Total Potable Water Connections</t>
  </si>
  <si>
    <t>Number of Potable Water Connections</t>
  </si>
  <si>
    <t>TOTAL OPERATING EXPENSES</t>
  </si>
  <si>
    <t>CASH-FUNDED WATER CIP FUND</t>
  </si>
  <si>
    <t>FEE-FUNDED WATER CIP FUND</t>
  </si>
  <si>
    <t>Total Cash-Funded Expenses</t>
  </si>
  <si>
    <t>CASH-FUNDED WW CIP FUND</t>
  </si>
  <si>
    <t>FEE-FUNDED WW CIP FUND</t>
  </si>
  <si>
    <t xml:space="preserve">    Water</t>
  </si>
  <si>
    <t xml:space="preserve">    Wastewater</t>
  </si>
  <si>
    <t xml:space="preserve">    Total - All Existing Debt Payments</t>
  </si>
  <si>
    <t xml:space="preserve">    GW Supply</t>
  </si>
  <si>
    <t xml:space="preserve">    SW Supply</t>
  </si>
  <si>
    <t>Wastewater</t>
  </si>
  <si>
    <t>Total Debt Service Payments</t>
  </si>
  <si>
    <t>Debt Service Requirements</t>
  </si>
  <si>
    <t xml:space="preserve">    Debt Service - Existing Debt</t>
  </si>
  <si>
    <t xml:space="preserve">    Debt Service - Proposed New Debt</t>
  </si>
  <si>
    <t xml:space="preserve">    Total Debt Service</t>
  </si>
  <si>
    <t>Transfers</t>
  </si>
  <si>
    <t>WATER OPERATING FUND</t>
  </si>
  <si>
    <t>INCOME STATEMENT</t>
  </si>
  <si>
    <t>WASTEWATER OPERATING FUND</t>
  </si>
  <si>
    <t>WASTEWATER RATE STRUCTURE</t>
  </si>
  <si>
    <r>
      <t>WATER</t>
    </r>
    <r>
      <rPr>
        <b/>
        <sz val="10"/>
        <color indexed="8"/>
        <rFont val="Arial"/>
        <family val="2"/>
      </rPr>
      <t xml:space="preserve"> OPERATING FUND</t>
    </r>
  </si>
  <si>
    <r>
      <t>WASTEWATER</t>
    </r>
    <r>
      <rPr>
        <b/>
        <sz val="10"/>
        <color indexed="8"/>
        <rFont val="Arial"/>
        <family val="2"/>
      </rPr>
      <t xml:space="preserve"> OPERATING FUND</t>
    </r>
  </si>
  <si>
    <t>Wastewater Demand Charge per Customer per Billing Period</t>
  </si>
  <si>
    <t>Wastewater Volume Charge per 1,000/gallons per Billing Period</t>
  </si>
  <si>
    <t>Avg. Billed Water Use per Wastewater Conn.</t>
  </si>
  <si>
    <t>Total Billed Wastewater Use (mg)</t>
  </si>
  <si>
    <t>Change in Total Wastewater Connections</t>
  </si>
  <si>
    <t>Total Wastewater Connections</t>
  </si>
  <si>
    <r>
      <t>COMBINED</t>
    </r>
    <r>
      <rPr>
        <b/>
        <sz val="10"/>
        <color indexed="8"/>
        <rFont val="Arial"/>
        <family val="2"/>
      </rPr>
      <t xml:space="preserve"> OPERATING FUND</t>
    </r>
  </si>
  <si>
    <t>TOTAL REVENUE</t>
  </si>
  <si>
    <t xml:space="preserve">    Percent Total Reserves - Actual</t>
  </si>
  <si>
    <t xml:space="preserve">    Percent Total Reserves - Target</t>
  </si>
  <si>
    <t>Operating Capital</t>
  </si>
  <si>
    <t xml:space="preserve">    Operating Transfers</t>
  </si>
  <si>
    <t xml:space="preserve">    Pumping, Storage &amp; Transmission</t>
  </si>
  <si>
    <t>Change in Number of Wastewater Connections</t>
  </si>
  <si>
    <t>WASTEWATER DATA SUMMARY</t>
  </si>
  <si>
    <t>NUMBER OF WASTEWATER CONNECTIONS</t>
  </si>
  <si>
    <t>CHANGE IN NUMBER OF WASTEWATER CONNECTIONS</t>
  </si>
  <si>
    <t>AVG. BILLED WATER USE PER WASTEWATER CONNECTION (gals/month)</t>
  </si>
  <si>
    <t>BILLED WASTEWATER USE (mg)</t>
  </si>
  <si>
    <t>CHANGE RATES FOR CONNECTIONS GROWTH AND PER CONNECTION WATER USE BY WASTEWATER CUSTOMERS</t>
  </si>
  <si>
    <t>WASTEWATER REVENUES</t>
  </si>
  <si>
    <t>TOTAL WASTEWATER REVENUE</t>
  </si>
  <si>
    <t xml:space="preserve">WASTEWATER DEMAND AND VOLUME CHARGE REVENUE - COLLECTED </t>
  </si>
  <si>
    <t xml:space="preserve">        Total</t>
  </si>
  <si>
    <t xml:space="preserve">        Reserved</t>
  </si>
  <si>
    <t>Reserved</t>
  </si>
  <si>
    <t xml:space="preserve">   Outside-City</t>
  </si>
  <si>
    <t>WATER AND WASTEWATER UTILITIES</t>
  </si>
  <si>
    <t>O&amp;M Expenses (less capital)</t>
  </si>
  <si>
    <t>VOLUME CHARGE REVENUE</t>
  </si>
  <si>
    <t>Wastewater Revenue</t>
  </si>
  <si>
    <t xml:space="preserve">    Total Wastewater Demand Charge Revenue</t>
  </si>
  <si>
    <t xml:space="preserve">    Total Wastewater Volume Charge Revenue</t>
  </si>
  <si>
    <t>Total Existing Debt Service</t>
  </si>
  <si>
    <t>Total Future Debt Service</t>
  </si>
  <si>
    <t>Total Annual Debt Service Payments by Functional Cost Center</t>
  </si>
  <si>
    <t>EXISTING AND FUTURE DEBT SERVICE BY FUNCTIONAL COST CENTER</t>
  </si>
  <si>
    <t>Total Existing Debt Service Payments</t>
  </si>
  <si>
    <t>Existing Annual Debt Service Payments by Cost Center</t>
  </si>
  <si>
    <t>Wastewater Sales Revenue</t>
  </si>
  <si>
    <t>Wastewater Other Revenue</t>
  </si>
  <si>
    <t>Wastewater Transfers In</t>
  </si>
  <si>
    <t xml:space="preserve">    Other Potable Users</t>
  </si>
  <si>
    <t>Total Other Potable Users</t>
  </si>
  <si>
    <t>Total Other Potable Water Use (mg)</t>
  </si>
  <si>
    <t xml:space="preserve">    Other Potable Water Users</t>
  </si>
  <si>
    <t xml:space="preserve">    Non-Potable Water</t>
  </si>
  <si>
    <t xml:space="preserve">    Other Potable Water Use</t>
  </si>
  <si>
    <t>Total Outside City</t>
  </si>
  <si>
    <t>Number of New Water Service Connections</t>
  </si>
  <si>
    <t xml:space="preserve">    Outside City</t>
  </si>
  <si>
    <t>Total Inside City</t>
  </si>
  <si>
    <t>Revenues</t>
  </si>
  <si>
    <t>Expenditures</t>
  </si>
  <si>
    <t xml:space="preserve">    Total Wastewater</t>
  </si>
  <si>
    <t xml:space="preserve">    Total Irrigation</t>
  </si>
  <si>
    <t xml:space="preserve">    Total Water</t>
  </si>
  <si>
    <t>Cross-Check with Table 1</t>
  </si>
  <si>
    <t>Fund</t>
  </si>
  <si>
    <t>WATER CIP FUND</t>
  </si>
  <si>
    <t>WASTEWATER CIP FUND</t>
  </si>
  <si>
    <t>Total Fee-Funded Expenditures</t>
  </si>
  <si>
    <t>Total Cash-Funded Expenditures</t>
  </si>
  <si>
    <t xml:space="preserve">    Total Fee-Funded Projects</t>
  </si>
  <si>
    <t>IMPACT FEE FUNDED PROJECTS</t>
  </si>
  <si>
    <t>CASH FUNDED PROJECTS</t>
  </si>
  <si>
    <t xml:space="preserve">    Total Cash-Funded Projects</t>
  </si>
  <si>
    <t>ALL CIP PROJECTS</t>
  </si>
  <si>
    <t xml:space="preserve">    Total Water CIP Projects</t>
  </si>
  <si>
    <t xml:space="preserve">    Pumping &amp;Interceptors</t>
  </si>
  <si>
    <t xml:space="preserve">    Collection</t>
  </si>
  <si>
    <t xml:space="preserve">    Total Wastewater CIP Projects</t>
  </si>
  <si>
    <t>PROJECTS ASSIGNED TO FUNCTIONAL COST CENTERS</t>
  </si>
  <si>
    <t xml:space="preserve">    Total Transfers</t>
  </si>
  <si>
    <t>Avg. Outside-City</t>
  </si>
  <si>
    <t>Avg. Inside-City</t>
  </si>
  <si>
    <t>Utility</t>
  </si>
  <si>
    <t>Issue #1</t>
  </si>
  <si>
    <t>Issue #2</t>
  </si>
  <si>
    <t>Issue #3</t>
  </si>
  <si>
    <t>Issue #4</t>
  </si>
  <si>
    <t>Issue #5</t>
  </si>
  <si>
    <t xml:space="preserve">    Water Treatment</t>
  </si>
  <si>
    <t xml:space="preserve">    Distribution</t>
  </si>
  <si>
    <t xml:space="preserve">    Wastewater Treatment</t>
  </si>
  <si>
    <t xml:space="preserve">    Pumping</t>
  </si>
  <si>
    <t xml:space="preserve">    Interceptors</t>
  </si>
  <si>
    <t xml:space="preserve">    Pumping, Storage and Transmission</t>
  </si>
  <si>
    <t>Bond Issues</t>
  </si>
  <si>
    <t>TABLE 3</t>
  </si>
  <si>
    <t>FUND SUMMARY</t>
  </si>
  <si>
    <t>FINANCIAL SUMMARY BY UTILITY</t>
  </si>
  <si>
    <t>WATER RATE STRUCTURE</t>
  </si>
  <si>
    <t>TABLE 4</t>
  </si>
  <si>
    <t>TABLE 6</t>
  </si>
  <si>
    <t>CHANGE RATES FOR CONNECTIONS GROWTH AND PER CONNECTION WATER USE</t>
  </si>
  <si>
    <t>Parameter</t>
  </si>
  <si>
    <t>Interest Rate</t>
  </si>
  <si>
    <t>Term (yrs)</t>
  </si>
  <si>
    <t>Soft Costs</t>
  </si>
  <si>
    <t>Issue Date</t>
  </si>
  <si>
    <t>WATER DEMAND SUMMARY</t>
  </si>
  <si>
    <t>WATER USE BY CLASS AND RATE BLOCK (mg/yr)</t>
  </si>
  <si>
    <t>NET REVENUE</t>
  </si>
  <si>
    <t>DEBT SERVICE SUMMARY</t>
  </si>
  <si>
    <t>Total Project Cost by Future Bond Issue</t>
  </si>
  <si>
    <t>Future Annual Debt Service Payments by Cost Center</t>
  </si>
  <si>
    <t>Total Future Debt Service Payments</t>
  </si>
  <si>
    <t>Existing Debt Service Payments</t>
  </si>
  <si>
    <t>Project Costs by Functional Cost Center by Existing Bond Issue</t>
  </si>
  <si>
    <t>Percent Distribution by Functional Cost Center by Existing Bond Issue</t>
  </si>
  <si>
    <t>Percent Distribution by Functional Cost Center by Future Bond Issue</t>
  </si>
  <si>
    <t>PROJECT COST SUMMARY BY EXISTING BOND ISSUE</t>
  </si>
  <si>
    <t>PROJECT COST SUMMARY BY FUTURE BOND ISSUE</t>
  </si>
  <si>
    <t>TOTAL REVENUES</t>
  </si>
  <si>
    <t xml:space="preserve">WATER DEMAND CHARGE REVENUE - COLLECTED </t>
  </si>
  <si>
    <t>WATER VOLUME REVENUE - COLLECTIONS</t>
  </si>
  <si>
    <t>Total Inside-City</t>
  </si>
  <si>
    <t xml:space="preserve">    Total Inside-City</t>
  </si>
  <si>
    <t xml:space="preserve">    Total Outside-City</t>
  </si>
  <si>
    <t>Total Outside-City Dem. Chg. Rev.</t>
  </si>
  <si>
    <t>Total Inside-City Dem. Chg. Rev.</t>
  </si>
  <si>
    <t xml:space="preserve">Total Water Dem. Chg. Revenue - Collected </t>
  </si>
  <si>
    <t>Total Water Volume Revenue - Collected</t>
  </si>
  <si>
    <t>BEGINNING BALANCE</t>
  </si>
  <si>
    <t>Other Revenue</t>
  </si>
  <si>
    <t>ENDING BALANCE</t>
  </si>
  <si>
    <t>* Assumes interest earnings on</t>
  </si>
  <si>
    <t>of the beginning balance at</t>
  </si>
  <si>
    <t>annual interest.</t>
  </si>
  <si>
    <t xml:space="preserve">    Inside-City</t>
  </si>
  <si>
    <t>Total Outside-City</t>
  </si>
  <si>
    <t xml:space="preserve"> Total Inside-City</t>
  </si>
  <si>
    <t xml:space="preserve"> Total Outside-City</t>
  </si>
  <si>
    <t>DEMAND CHARGE REVENUE</t>
  </si>
  <si>
    <t>Number of Water Meters by Water Customers</t>
  </si>
  <si>
    <t>WATER METER COUNT OF WATER CUSTOMERS</t>
  </si>
  <si>
    <t xml:space="preserve">    Net Revenue Available for Debt Service</t>
  </si>
  <si>
    <t>1-1/4"</t>
  </si>
  <si>
    <t>(Y/N)</t>
  </si>
  <si>
    <t xml:space="preserve">    Coverage Ratio - Target</t>
  </si>
  <si>
    <t xml:space="preserve">    Coverage Ratio - Actual</t>
  </si>
  <si>
    <t>Total Residential</t>
  </si>
  <si>
    <t>Inside-City</t>
  </si>
  <si>
    <t>Meter</t>
  </si>
  <si>
    <t>5/8"</t>
  </si>
  <si>
    <t>1"</t>
  </si>
  <si>
    <t>1-1/2"</t>
  </si>
  <si>
    <t>2"</t>
  </si>
  <si>
    <t>3"</t>
  </si>
  <si>
    <t>4"</t>
  </si>
  <si>
    <t>6"</t>
  </si>
  <si>
    <t>8"</t>
  </si>
  <si>
    <t>3/4"</t>
  </si>
  <si>
    <t>Item</t>
  </si>
  <si>
    <t xml:space="preserve">    Residential</t>
  </si>
  <si>
    <t>Water</t>
  </si>
  <si>
    <t>Distribution</t>
  </si>
  <si>
    <t>Total</t>
  </si>
  <si>
    <t>Total Revenues</t>
  </si>
  <si>
    <t>O&amp;M Expenses (less capital &amp; transfers)</t>
  </si>
  <si>
    <t>O&amp;M Expenses (less capital &amp; transfers))</t>
  </si>
  <si>
    <t>Residential</t>
  </si>
  <si>
    <t>Cost Center</t>
  </si>
  <si>
    <t>Collection</t>
  </si>
  <si>
    <t>BEGINNING FUND BALANCE</t>
  </si>
  <si>
    <t>REVENUES</t>
  </si>
  <si>
    <t>EXPENDITURES</t>
  </si>
  <si>
    <t>ENDING FUND BALANCE</t>
  </si>
  <si>
    <t>Project Name</t>
  </si>
  <si>
    <t>Funding</t>
  </si>
  <si>
    <t>Change in Number of Water Connections</t>
  </si>
  <si>
    <t>Change in Water Use per Connection</t>
  </si>
  <si>
    <t>Total Expenditures</t>
  </si>
  <si>
    <t>Operating Revenues</t>
  </si>
  <si>
    <t>Operating Transfers In</t>
  </si>
  <si>
    <t>FUND TOTAL</t>
  </si>
  <si>
    <t>Total Revenue</t>
  </si>
  <si>
    <t>Net Revenue</t>
  </si>
  <si>
    <t>Net Revenue as % of Expenditures</t>
  </si>
  <si>
    <t>WATER</t>
  </si>
  <si>
    <t>WASTEWATER</t>
  </si>
  <si>
    <t>TABLE 1</t>
  </si>
  <si>
    <t>TABLE 2</t>
  </si>
  <si>
    <t>Financial Indicators</t>
  </si>
  <si>
    <t>Other Users</t>
  </si>
  <si>
    <t xml:space="preserve">    Change in Ending Balance</t>
  </si>
  <si>
    <t xml:space="preserve">    Difference</t>
  </si>
  <si>
    <t xml:space="preserve">    Overall Reserve (End Balance/Total Exps)</t>
  </si>
  <si>
    <t>Total Billed Use</t>
  </si>
  <si>
    <t>Irrigation</t>
  </si>
  <si>
    <t>Number of New Meters</t>
  </si>
  <si>
    <t>Total Meters</t>
  </si>
  <si>
    <t>Water Volume Charge per 1,000/gallons per Billing Period</t>
  </si>
  <si>
    <t>avg increase =</t>
  </si>
  <si>
    <t>Total New Meters</t>
  </si>
  <si>
    <t>Distribution of Meter Sizes other than 5/8"-Residential and 5/8" and 3/4"-Commercial</t>
  </si>
  <si>
    <t xml:space="preserve">    Irrigation</t>
  </si>
  <si>
    <t>Outside-City</t>
  </si>
  <si>
    <t xml:space="preserve">  Outside-city</t>
  </si>
  <si>
    <t>OUTSIDE-CITY</t>
  </si>
  <si>
    <t>Water User Charges</t>
  </si>
  <si>
    <t>Wastewater User Charges</t>
  </si>
  <si>
    <t>Interest Earnings</t>
  </si>
  <si>
    <t>WATER OPERATIONS FUND</t>
  </si>
  <si>
    <t>WASTEWATER OPERATIONS FUND</t>
  </si>
  <si>
    <t>Transfer In - Cash CIP</t>
  </si>
  <si>
    <t>Tansfer In - Impact Fee Revenue</t>
  </si>
  <si>
    <t>Transfer In - Impact Fee Revenue</t>
  </si>
  <si>
    <t>Est Bond Sizing including soft costs</t>
  </si>
  <si>
    <t>Combined</t>
  </si>
  <si>
    <t>Source</t>
  </si>
  <si>
    <t xml:space="preserve">    Required Reserves Before Capital Transfer</t>
  </si>
  <si>
    <t>GW Supply</t>
  </si>
  <si>
    <t>Capital Improvement Projects</t>
  </si>
  <si>
    <t>Water and Wastewater Fund</t>
  </si>
  <si>
    <t>Cost</t>
  </si>
  <si>
    <t>Project?</t>
  </si>
  <si>
    <t>of</t>
  </si>
  <si>
    <t xml:space="preserve">Estimated Project Cost by Year </t>
  </si>
  <si>
    <t xml:space="preserve">CIP </t>
  </si>
  <si>
    <t>Capital Allocation Tests</t>
  </si>
  <si>
    <t>Center</t>
  </si>
  <si>
    <t xml:space="preserve">Total </t>
  </si>
  <si>
    <t>Allocation Test String</t>
  </si>
  <si>
    <t>Cash Test String</t>
  </si>
  <si>
    <t>W</t>
  </si>
  <si>
    <t>WW</t>
  </si>
  <si>
    <t>Pumping &amp; Interceptors</t>
  </si>
  <si>
    <t>SW Supply</t>
  </si>
  <si>
    <t>Water Treatment</t>
  </si>
  <si>
    <t>WW Treatment</t>
  </si>
  <si>
    <t>Transfer to O&amp;M for Debt Service</t>
  </si>
  <si>
    <t>% Water</t>
  </si>
  <si>
    <t>% WW</t>
  </si>
  <si>
    <t xml:space="preserve">        Placeholder</t>
  </si>
  <si>
    <t xml:space="preserve">    Placeholder</t>
  </si>
  <si>
    <t>Placeholer</t>
  </si>
  <si>
    <t>Placeholder</t>
  </si>
  <si>
    <t>REVENUE DETAIL</t>
  </si>
  <si>
    <t>% Sewer</t>
  </si>
  <si>
    <t>Forecast Method</t>
  </si>
  <si>
    <t>3-Year Average</t>
  </si>
  <si>
    <t>Cross-Check w/Ind. Tabs</t>
  </si>
  <si>
    <t>Debt Service</t>
  </si>
  <si>
    <t xml:space="preserve">** Assumes a billing collection factor of </t>
  </si>
  <si>
    <t>Total Water Expenses</t>
  </si>
  <si>
    <t>Total Wastewater Expenses</t>
  </si>
  <si>
    <t>TOTAL OPERATING EXPENSES (SUMMARY)</t>
  </si>
  <si>
    <t>Check with Total from Below</t>
  </si>
  <si>
    <t>Sample Monthly Bill</t>
  </si>
  <si>
    <t>Change</t>
  </si>
  <si>
    <t>Class</t>
  </si>
  <si>
    <t>Monthly Use</t>
  </si>
  <si>
    <t>Commercial w/ 1" meter</t>
  </si>
  <si>
    <t>SEWER</t>
  </si>
  <si>
    <t>COMBINED WATER AND SEWER</t>
  </si>
  <si>
    <t>% Change</t>
  </si>
  <si>
    <t>Residential w/ 3/4" meter</t>
  </si>
  <si>
    <t>Commercial</t>
  </si>
  <si>
    <t>COMMON EXPENSES</t>
  </si>
  <si>
    <t>Total Common Expenses</t>
  </si>
  <si>
    <t>WATER EXPENSES</t>
  </si>
  <si>
    <t>WASTEWATER EXPENSES</t>
  </si>
  <si>
    <t>Cash Capital Outlay</t>
  </si>
  <si>
    <t>TOTAL UTILITY EXPENSES</t>
  </si>
  <si>
    <t>INFLATION FACTORS</t>
  </si>
  <si>
    <t>Rate of Inflation</t>
  </si>
  <si>
    <t>From Debt Tab</t>
  </si>
  <si>
    <t>From CIP</t>
  </si>
  <si>
    <t xml:space="preserve">    Cash CIP/ Other Capital Transfers</t>
  </si>
  <si>
    <t>Outside City Factor:</t>
  </si>
  <si>
    <t>PERCENT OF WATER USE BY CLASS AND RATE BLOCK</t>
  </si>
  <si>
    <t>Total Other Revenue</t>
  </si>
  <si>
    <t>Transfers In</t>
  </si>
  <si>
    <t>Issue #6</t>
  </si>
  <si>
    <t>Issue #7</t>
  </si>
  <si>
    <t>Issue #8</t>
  </si>
  <si>
    <t>Issue #9</t>
  </si>
  <si>
    <t>Issue #10</t>
  </si>
  <si>
    <t>Total Placeholder</t>
  </si>
  <si>
    <t xml:space="preserve">        Commercial</t>
  </si>
  <si>
    <t xml:space="preserve">    Commercial</t>
  </si>
  <si>
    <t>Total Commercial</t>
  </si>
  <si>
    <t>Ten-Year</t>
  </si>
  <si>
    <t>Contract Sewer Sales</t>
  </si>
  <si>
    <t>Transfer to Contingency Fund</t>
  </si>
  <si>
    <t>Common Expenses</t>
  </si>
  <si>
    <t>Residential (In Town)</t>
  </si>
  <si>
    <t>Residential (Out of Town)</t>
  </si>
  <si>
    <t>Jan</t>
  </si>
  <si>
    <t>Feb</t>
  </si>
  <si>
    <t>Mar</t>
  </si>
  <si>
    <t>Apr</t>
  </si>
  <si>
    <t>May</t>
  </si>
  <si>
    <t>Jun</t>
  </si>
  <si>
    <t>Jul</t>
  </si>
  <si>
    <t>Aug</t>
  </si>
  <si>
    <t>Sep</t>
  </si>
  <si>
    <t>Oct</t>
  </si>
  <si>
    <t>Nov</t>
  </si>
  <si>
    <t>Dec</t>
  </si>
  <si>
    <t>Customer Count</t>
  </si>
  <si>
    <t>Average</t>
  </si>
  <si>
    <t>Use Per Connection</t>
  </si>
  <si>
    <t>Sewer</t>
  </si>
  <si>
    <t>Yes</t>
  </si>
  <si>
    <t>Cash</t>
  </si>
  <si>
    <t>Other Cash Funded Projects</t>
  </si>
  <si>
    <t>Debt Funded Projects</t>
  </si>
  <si>
    <t>Debt</t>
  </si>
  <si>
    <t>2024-2025</t>
  </si>
  <si>
    <t>2025-2026</t>
  </si>
  <si>
    <t>Tap Fees</t>
  </si>
  <si>
    <t>Monthly User Fee</t>
  </si>
  <si>
    <t>Fire Protection Fee</t>
  </si>
  <si>
    <t>Reconnect Fee</t>
  </si>
  <si>
    <t>Meter Setting Fees</t>
  </si>
  <si>
    <t>Rent - Nextel Corp</t>
  </si>
  <si>
    <t>Miscellaneous Revenues</t>
  </si>
  <si>
    <t>Recycling Revenues</t>
  </si>
  <si>
    <t>Fixed Assets</t>
  </si>
  <si>
    <t>Water and Sewer Administration</t>
  </si>
  <si>
    <t>Water Utility</t>
  </si>
  <si>
    <t>Sewer Utility</t>
  </si>
  <si>
    <t>Plant Operation</t>
  </si>
  <si>
    <t>Series XXXX</t>
  </si>
  <si>
    <t>Series 2013</t>
  </si>
  <si>
    <t>Series 2020</t>
  </si>
  <si>
    <t>Transfer from Sales Tax Fund for a portion of debt service</t>
  </si>
  <si>
    <t>Stein Road LS Upgrade</t>
  </si>
  <si>
    <t>Woodbridge LS Upgrade</t>
  </si>
  <si>
    <t>Elmwood Loop LS Upgrade</t>
  </si>
  <si>
    <t>Cured in place Pipe Rehab</t>
  </si>
  <si>
    <t>Emergency Repairs</t>
  </si>
  <si>
    <t>Commercial Inside</t>
  </si>
  <si>
    <t>Commercial Outside</t>
  </si>
  <si>
    <t>Flat Rate</t>
  </si>
  <si>
    <t>Residential inside</t>
  </si>
  <si>
    <t>Residential Outside</t>
  </si>
  <si>
    <t>Sewer District No 1 Res</t>
  </si>
  <si>
    <t>Sewer District No 1 Comm</t>
  </si>
  <si>
    <t>Usage (100 gallons)</t>
  </si>
  <si>
    <t>Month 1</t>
  </si>
  <si>
    <t>Month 2</t>
  </si>
  <si>
    <t>Month 3</t>
  </si>
  <si>
    <t>Month 4</t>
  </si>
  <si>
    <t>Month 5</t>
  </si>
  <si>
    <t>Month 6</t>
  </si>
  <si>
    <t>Month 7</t>
  </si>
  <si>
    <t>Month 8</t>
  </si>
  <si>
    <t>Month 9</t>
  </si>
  <si>
    <t>Month 10</t>
  </si>
  <si>
    <t>Month 11</t>
  </si>
  <si>
    <t>Month 12</t>
  </si>
  <si>
    <t>Grant</t>
  </si>
  <si>
    <t>Professional Plaza / Club DeLuxe LS Upgrade</t>
  </si>
  <si>
    <t>University / Tornado</t>
  </si>
  <si>
    <t>Casey Road at Vineyard</t>
  </si>
  <si>
    <t>Maryland St LS Upgrade</t>
  </si>
  <si>
    <t>Town &amp; Country LS Upgrade</t>
  </si>
  <si>
    <t>E. Hanson LS Upgrade</t>
  </si>
  <si>
    <t>HAEIDD/Hipark LS Grinders</t>
  </si>
  <si>
    <t>South Plant Improvements</t>
  </si>
  <si>
    <t>Monistere Ln Sewer Impr.</t>
  </si>
  <si>
    <t>Emergency and Misc. Repairs</t>
  </si>
  <si>
    <t>Paid from sales tax</t>
  </si>
  <si>
    <t>CITY OF HAMMOND</t>
  </si>
  <si>
    <t>Quick Summary</t>
  </si>
  <si>
    <r>
      <t xml:space="preserve">On June 24, 2025, the City of Hammond, by Ordinance 25-5766, adopted new water and sewer rates in accordance with State law.  Louisiana Revised Statute 39:100.56 requires the City, as a Water Sector Program grantee, to "comply with the... rate study completed by a third party chosen by the [Louisiana Division of Administration]."
In the City's case, this third party was Waggoner Engineering, Inc.  Waggoner's analysis is summarized in this document.
Waggoner recommended increases to both water and sewer rates to cover the costs of these services.  These recommendations can be found on the </t>
    </r>
    <r>
      <rPr>
        <b/>
        <i/>
        <sz val="10"/>
        <rFont val="Arial"/>
        <family val="2"/>
      </rPr>
      <t>Sum</t>
    </r>
    <r>
      <rPr>
        <sz val="10"/>
        <rFont val="Arial"/>
        <family val="2"/>
      </rPr>
      <t xml:space="preserve"> tab.  For quick reference, excerpts from this tab appear below.
The rates marked in </t>
    </r>
    <r>
      <rPr>
        <b/>
        <sz val="10"/>
        <color rgb="FFFF0000"/>
        <rFont val="Arial"/>
        <family val="2"/>
      </rPr>
      <t>red</t>
    </r>
    <r>
      <rPr>
        <sz val="10"/>
        <rFont val="Arial"/>
        <family val="2"/>
      </rPr>
      <t xml:space="preserve"> became effective on October 1, 2025 in the City 2026 fiscal year, which runs July 1, 2025–June 30, 2026.</t>
    </r>
  </si>
  <si>
    <t>Note:  for Outside-City Residential customers, the City opted for a modest increase to $5.78 per 1,000/gallons.  Historically rates for outside customers have been double to cover the cost of service without the support of local taxes (e.g. property taxes).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</si>
</sst>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_(* #,##0.000_);_(* \(#,##0.000\);_(* &quot;-&quot;???_);_(@_)"/>
    <numFmt numFmtId="165" formatCode="_(* #,##0.0_);_(* \(#,##0.0\);_(* &quot;-&quot;??_);_(@_)"/>
    <numFmt numFmtId="166" formatCode="_(* #,##0_);_(* \(#,##0\);_(* &quot;-&quot;??_);_(@_)"/>
    <numFmt numFmtId="167" formatCode="_(* #,##0.000_);_(* \(#,##0.000\);_(* &quot;-&quot;??_);_(@_)"/>
    <numFmt numFmtId="168" formatCode="0.0%"/>
    <numFmt numFmtId="169" formatCode="_(&quot;$&quot;* #,##0_);_(&quot;$&quot;* \(#,##0\);_(&quot;$&quot;* &quot;-&quot;??_);_(@_)"/>
    <numFmt numFmtId="170" formatCode="0.000%"/>
  </numFmts>
  <fonts count="22" x14ac:knownFonts="1">
    <font>
      <sz val="10"/>
      <name val="Arial"/>
    </font>
    <font>
      <sz val="10"/>
      <name val="Arial"/>
      <family val="2"/>
    </font>
    <font>
      <b/>
      <sz val="10"/>
      <name val="Arial"/>
      <family val="2"/>
    </font>
    <font>
      <sz val="9"/>
      <name val="Arial"/>
      <family val="2"/>
      <charset val="178"/>
    </font>
    <font>
      <sz val="10"/>
      <name val="Arial"/>
      <family val="2"/>
    </font>
    <font>
      <sz val="10"/>
      <color indexed="8"/>
      <name val="Arial"/>
      <family val="2"/>
    </font>
    <font>
      <b/>
      <sz val="10"/>
      <color indexed="8"/>
      <name val="Arial"/>
      <family val="2"/>
    </font>
    <font>
      <sz val="9"/>
      <color indexed="8"/>
      <name val="Arial"/>
      <family val="2"/>
    </font>
    <font>
      <i/>
      <sz val="10"/>
      <color indexed="8"/>
      <name val="Arial"/>
      <family val="2"/>
    </font>
    <font>
      <sz val="10"/>
      <color indexed="10"/>
      <name val="Arial"/>
      <family val="2"/>
    </font>
    <font>
      <b/>
      <sz val="11"/>
      <color indexed="8"/>
      <name val="Arial"/>
      <family val="2"/>
    </font>
    <font>
      <b/>
      <u/>
      <sz val="10"/>
      <color indexed="8"/>
      <name val="Arial"/>
      <family val="2"/>
    </font>
    <font>
      <b/>
      <sz val="10"/>
      <color indexed="10"/>
      <name val="Arial"/>
      <family val="2"/>
    </font>
    <font>
      <sz val="8"/>
      <name val="Arial"/>
      <family val="2"/>
    </font>
    <font>
      <b/>
      <sz val="9"/>
      <color indexed="8"/>
      <name val="Arial"/>
      <family val="2"/>
    </font>
    <font>
      <sz val="9"/>
      <name val="Arial"/>
      <family val="2"/>
    </font>
    <font>
      <b/>
      <sz val="9"/>
      <name val="Arial"/>
      <family val="2"/>
    </font>
    <font>
      <sz val="11"/>
      <name val="Calibri"/>
      <family val="2"/>
    </font>
    <font>
      <b/>
      <i/>
      <sz val="10"/>
      <name val="Arial"/>
      <family val="2"/>
    </font>
    <font>
      <sz val="8"/>
      <name val="Arial"/>
    </font>
    <font>
      <sz val="16"/>
      <name val="Arial"/>
      <family val="2"/>
    </font>
    <font>
      <b/>
      <sz val="10"/>
      <color rgb="FFFF0000"/>
      <name val="Arial"/>
      <family val="2"/>
    </font>
  </fonts>
  <fills count="15">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44"/>
        <bgColor indexed="64"/>
      </patternFill>
    </fill>
    <fill>
      <patternFill patternType="solid">
        <fgColor indexed="45"/>
        <bgColor indexed="64"/>
      </patternFill>
    </fill>
    <fill>
      <patternFill patternType="solid">
        <fgColor indexed="47"/>
        <bgColor indexed="64"/>
      </patternFill>
    </fill>
    <fill>
      <patternFill patternType="solid">
        <fgColor theme="0" tint="-0.249977111117893"/>
        <bgColor indexed="64"/>
      </patternFill>
    </fill>
    <fill>
      <patternFill patternType="solid">
        <fgColor rgb="FFFFFF00"/>
        <bgColor indexed="64"/>
      </patternFill>
    </fill>
    <fill>
      <patternFill patternType="solid">
        <fgColor rgb="FFFFFF99"/>
        <bgColor indexed="64"/>
      </patternFill>
    </fill>
    <fill>
      <patternFill patternType="solid">
        <fgColor indexed="42"/>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rgb="FFC0C0C0"/>
        <bgColor indexed="64"/>
      </patternFill>
    </fill>
    <fill>
      <patternFill patternType="solid">
        <fgColor theme="1"/>
        <bgColor indexed="64"/>
      </patternFill>
    </fill>
  </fills>
  <borders count="71">
    <border>
      <left/>
      <right/>
      <top/>
      <bottom/>
      <diagonal/>
    </border>
    <border>
      <left/>
      <right/>
      <top/>
      <bottom style="medium">
        <color indexed="64"/>
      </bottom>
      <diagonal/>
    </border>
    <border>
      <left/>
      <right/>
      <top/>
      <bottom style="thin">
        <color indexed="64"/>
      </bottom>
      <diagonal/>
    </border>
    <border>
      <left/>
      <right/>
      <top style="thin">
        <color indexed="64"/>
      </top>
      <bottom/>
      <diagonal/>
    </border>
    <border>
      <left/>
      <right/>
      <top/>
      <bottom style="double">
        <color indexed="64"/>
      </bottom>
      <diagonal/>
    </border>
    <border>
      <left/>
      <right/>
      <top style="thin">
        <color indexed="64"/>
      </top>
      <bottom style="thin">
        <color indexed="64"/>
      </bottom>
      <diagonal/>
    </border>
    <border>
      <left style="dashed">
        <color indexed="12"/>
      </left>
      <right style="dashed">
        <color indexed="12"/>
      </right>
      <top/>
      <bottom/>
      <diagonal/>
    </border>
    <border>
      <left style="dashed">
        <color indexed="12"/>
      </left>
      <right style="dashed">
        <color indexed="12"/>
      </right>
      <top/>
      <bottom style="medium">
        <color indexed="64"/>
      </bottom>
      <diagonal/>
    </border>
    <border>
      <left style="dashed">
        <color indexed="12"/>
      </left>
      <right style="dashed">
        <color indexed="12"/>
      </right>
      <top/>
      <bottom style="thin">
        <color indexed="64"/>
      </bottom>
      <diagonal/>
    </border>
    <border>
      <left style="dashed">
        <color indexed="12"/>
      </left>
      <right style="dashed">
        <color indexed="12"/>
      </right>
      <top/>
      <bottom style="double">
        <color indexed="64"/>
      </bottom>
      <diagonal/>
    </border>
    <border>
      <left style="dashed">
        <color indexed="12"/>
      </left>
      <right style="dashed">
        <color indexed="12"/>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right/>
      <top style="double">
        <color indexed="64"/>
      </top>
      <bottom/>
      <diagonal/>
    </border>
    <border>
      <left/>
      <right/>
      <top style="medium">
        <color indexed="64"/>
      </top>
      <bottom style="thin">
        <color indexed="64"/>
      </bottom>
      <diagonal/>
    </border>
    <border>
      <left style="dashed">
        <color indexed="12"/>
      </left>
      <right style="dashed">
        <color indexed="12"/>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dashed">
        <color indexed="12"/>
      </right>
      <top/>
      <bottom/>
      <diagonal/>
    </border>
    <border>
      <left/>
      <right style="dashed">
        <color indexed="12"/>
      </right>
      <top/>
      <bottom style="medium">
        <color indexed="64"/>
      </bottom>
      <diagonal/>
    </border>
    <border>
      <left/>
      <right style="dashed">
        <color indexed="12"/>
      </right>
      <top/>
      <bottom style="thin">
        <color indexed="64"/>
      </bottom>
      <diagonal/>
    </border>
    <border>
      <left/>
      <right style="dashed">
        <color indexed="12"/>
      </right>
      <top/>
      <bottom style="double">
        <color indexed="64"/>
      </bottom>
      <diagonal/>
    </border>
    <border>
      <left/>
      <right style="dashed">
        <color indexed="12"/>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style="thin">
        <color indexed="64"/>
      </right>
      <top style="hair">
        <color indexed="64"/>
      </top>
      <bottom style="medium">
        <color indexed="64"/>
      </bottom>
      <diagonal/>
    </border>
    <border>
      <left style="medium">
        <color indexed="64"/>
      </left>
      <right/>
      <top/>
      <bottom style="thin">
        <color indexed="64"/>
      </bottom>
      <diagonal/>
    </border>
    <border>
      <left style="dashed">
        <color indexed="12"/>
      </left>
      <right/>
      <top/>
      <bottom/>
      <diagonal/>
    </border>
    <border>
      <left style="dashed">
        <color indexed="12"/>
      </left>
      <right/>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medium">
        <color indexed="64"/>
      </top>
      <bottom style="hair">
        <color indexed="64"/>
      </bottom>
      <diagonal/>
    </border>
    <border>
      <left style="dashed">
        <color rgb="FF0000FF"/>
      </left>
      <right style="dashed">
        <color rgb="FF0000FF"/>
      </right>
      <top style="thin">
        <color indexed="64"/>
      </top>
      <bottom/>
      <diagonal/>
    </border>
    <border>
      <left style="dashed">
        <color rgb="FF0000FF"/>
      </left>
      <right style="dashed">
        <color rgb="FF0000FF"/>
      </right>
      <top/>
      <bottom/>
      <diagonal/>
    </border>
    <border>
      <left style="dashed">
        <color rgb="FF0000FF"/>
      </left>
      <right style="dashed">
        <color rgb="FF0000FF"/>
      </right>
      <top/>
      <bottom style="double">
        <color auto="1"/>
      </bottom>
      <diagonal/>
    </border>
    <border>
      <left style="dashed">
        <color rgb="FF0000FF"/>
      </left>
      <right style="dashed">
        <color rgb="FF0000FF"/>
      </right>
      <top/>
      <bottom style="medium">
        <color auto="1"/>
      </bottom>
      <diagonal/>
    </border>
    <border>
      <left style="medium">
        <color rgb="FFFF0000"/>
      </left>
      <right style="medium">
        <color rgb="FFFF0000"/>
      </right>
      <top style="medium">
        <color rgb="FFFF0000"/>
      </top>
      <bottom style="medium">
        <color rgb="FFFF0000"/>
      </bottom>
      <diagonal/>
    </border>
    <border>
      <left style="medium">
        <color rgb="FFFF0000"/>
      </left>
      <right/>
      <top style="medium">
        <color rgb="FFFF0000"/>
      </top>
      <bottom/>
      <diagonal/>
    </border>
    <border>
      <left/>
      <right/>
      <top style="medium">
        <color rgb="FFFF0000"/>
      </top>
      <bottom/>
      <diagonal/>
    </border>
    <border>
      <left style="dashed">
        <color indexed="12"/>
      </left>
      <right style="dashed">
        <color indexed="12"/>
      </right>
      <top style="medium">
        <color rgb="FFFF0000"/>
      </top>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style="dashed">
        <color indexed="12"/>
      </left>
      <right style="dashed">
        <color indexed="12"/>
      </right>
      <top/>
      <bottom style="medium">
        <color rgb="FFFF0000"/>
      </bottom>
      <diagonal/>
    </border>
    <border>
      <left/>
      <right style="medium">
        <color rgb="FFFF0000"/>
      </right>
      <top/>
      <bottom style="medium">
        <color rgb="FFFF0000"/>
      </bottom>
      <diagonal/>
    </border>
  </borders>
  <cellStyleXfs count="15">
    <xf numFmtId="0" fontId="0" fillId="0" borderId="0"/>
    <xf numFmtId="43" fontId="1" fillId="0" borderId="0" applyFont="0" applyFill="0" applyBorder="0" applyAlignment="0" applyProtection="0"/>
    <xf numFmtId="44" fontId="1" fillId="0" borderId="0" applyFont="0" applyFill="0" applyBorder="0" applyAlignment="0" applyProtection="0"/>
    <xf numFmtId="37" fontId="3"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cellStyleXfs>
  <cellXfs count="691">
    <xf numFmtId="0" fontId="0" fillId="0" borderId="0" xfId="0"/>
    <xf numFmtId="44" fontId="5" fillId="0" borderId="0" xfId="2" applyFont="1" applyFill="1" applyBorder="1" applyAlignment="1">
      <alignment horizontal="right"/>
    </xf>
    <xf numFmtId="37" fontId="5" fillId="0" borderId="0" xfId="3" applyFont="1"/>
    <xf numFmtId="0" fontId="5" fillId="0" borderId="0" xfId="0" applyFont="1"/>
    <xf numFmtId="0" fontId="6" fillId="0" borderId="0" xfId="0" applyFont="1" applyAlignment="1">
      <alignment horizontal="right"/>
    </xf>
    <xf numFmtId="44" fontId="5" fillId="0" borderId="1" xfId="2" applyFont="1" applyFill="1" applyBorder="1" applyAlignment="1">
      <alignment horizontal="right"/>
    </xf>
    <xf numFmtId="37" fontId="6" fillId="0" borderId="0" xfId="3" applyFont="1"/>
    <xf numFmtId="0" fontId="5" fillId="0" borderId="1" xfId="0" applyFont="1" applyBorder="1"/>
    <xf numFmtId="37" fontId="6" fillId="0" borderId="1" xfId="3" applyFont="1" applyBorder="1"/>
    <xf numFmtId="37" fontId="5" fillId="0" borderId="1" xfId="3" applyFont="1" applyBorder="1"/>
    <xf numFmtId="0" fontId="5" fillId="0" borderId="0" xfId="0" applyFont="1" applyAlignment="1">
      <alignment horizontal="center"/>
    </xf>
    <xf numFmtId="169" fontId="5" fillId="0" borderId="0" xfId="2" applyNumberFormat="1" applyFont="1" applyFill="1" applyBorder="1" applyAlignment="1">
      <alignment horizontal="center"/>
    </xf>
    <xf numFmtId="169" fontId="5" fillId="2" borderId="0" xfId="2" applyNumberFormat="1" applyFont="1" applyFill="1" applyBorder="1"/>
    <xf numFmtId="169" fontId="5" fillId="0" borderId="0" xfId="2" applyNumberFormat="1" applyFont="1" applyBorder="1"/>
    <xf numFmtId="49" fontId="5" fillId="0" borderId="1" xfId="0" applyNumberFormat="1" applyFont="1" applyBorder="1" applyAlignment="1">
      <alignment horizontal="center"/>
    </xf>
    <xf numFmtId="169" fontId="5" fillId="0" borderId="1" xfId="2" applyNumberFormat="1" applyFont="1" applyBorder="1"/>
    <xf numFmtId="49" fontId="5" fillId="0" borderId="0" xfId="0" applyNumberFormat="1" applyFont="1" applyAlignment="1">
      <alignment horizontal="center"/>
    </xf>
    <xf numFmtId="49" fontId="5" fillId="0" borderId="2" xfId="0" applyNumberFormat="1" applyFont="1" applyBorder="1" applyAlignment="1">
      <alignment horizontal="center"/>
    </xf>
    <xf numFmtId="169" fontId="7" fillId="0" borderId="0" xfId="2" applyNumberFormat="1" applyFont="1" applyBorder="1"/>
    <xf numFmtId="10" fontId="5" fillId="0" borderId="0" xfId="4" applyNumberFormat="1" applyFont="1" applyFill="1" applyBorder="1"/>
    <xf numFmtId="169" fontId="5" fillId="0" borderId="0" xfId="2" applyNumberFormat="1" applyFont="1" applyFill="1" applyBorder="1"/>
    <xf numFmtId="0" fontId="6" fillId="0" borderId="1" xfId="0" applyFont="1" applyBorder="1" applyAlignment="1">
      <alignment horizontal="left"/>
    </xf>
    <xf numFmtId="0" fontId="5" fillId="0" borderId="2" xfId="0" applyFont="1" applyBorder="1"/>
    <xf numFmtId="168" fontId="5" fillId="0" borderId="0" xfId="4" applyNumberFormat="1" applyFont="1" applyBorder="1"/>
    <xf numFmtId="0" fontId="5" fillId="0" borderId="0" xfId="0" applyFont="1" applyAlignment="1">
      <alignment horizontal="right"/>
    </xf>
    <xf numFmtId="166" fontId="5" fillId="0" borderId="0" xfId="1" applyNumberFormat="1" applyFont="1" applyFill="1" applyBorder="1"/>
    <xf numFmtId="169" fontId="5" fillId="0" borderId="1" xfId="2" applyNumberFormat="1" applyFont="1" applyFill="1" applyBorder="1" applyAlignment="1">
      <alignment horizontal="center"/>
    </xf>
    <xf numFmtId="0" fontId="5" fillId="0" borderId="1" xfId="0" applyFont="1" applyBorder="1" applyAlignment="1">
      <alignment horizontal="center"/>
    </xf>
    <xf numFmtId="0" fontId="5" fillId="0" borderId="0" xfId="0" applyFont="1" applyAlignment="1">
      <alignment horizontal="left"/>
    </xf>
    <xf numFmtId="0" fontId="6" fillId="0" borderId="0" xfId="0" applyFont="1"/>
    <xf numFmtId="169" fontId="5" fillId="0" borderId="2" xfId="2" applyNumberFormat="1" applyFont="1" applyBorder="1"/>
    <xf numFmtId="49" fontId="5" fillId="0" borderId="4" xfId="0" applyNumberFormat="1" applyFont="1" applyBorder="1" applyAlignment="1">
      <alignment horizontal="center"/>
    </xf>
    <xf numFmtId="0" fontId="5" fillId="0" borderId="4" xfId="0" applyFont="1" applyBorder="1"/>
    <xf numFmtId="169" fontId="5" fillId="0" borderId="4" xfId="2" applyNumberFormat="1" applyFont="1" applyBorder="1"/>
    <xf numFmtId="165" fontId="5" fillId="0" borderId="0" xfId="1" applyNumberFormat="1" applyFont="1" applyBorder="1"/>
    <xf numFmtId="0" fontId="5" fillId="3" borderId="0" xfId="0" applyFont="1" applyFill="1"/>
    <xf numFmtId="44" fontId="5" fillId="0" borderId="0" xfId="2" applyFont="1" applyBorder="1"/>
    <xf numFmtId="166" fontId="5" fillId="0" borderId="0" xfId="1" applyNumberFormat="1" applyFont="1" applyBorder="1"/>
    <xf numFmtId="9" fontId="5" fillId="0" borderId="0" xfId="4" applyFont="1" applyBorder="1"/>
    <xf numFmtId="9" fontId="5" fillId="0" borderId="2" xfId="4" applyFont="1" applyBorder="1"/>
    <xf numFmtId="1" fontId="5" fillId="0" borderId="0" xfId="2" applyNumberFormat="1" applyFont="1" applyBorder="1" applyAlignment="1">
      <alignment horizontal="center"/>
    </xf>
    <xf numFmtId="37" fontId="5" fillId="0" borderId="0" xfId="3" applyFont="1" applyAlignment="1">
      <alignment horizontal="center"/>
    </xf>
    <xf numFmtId="0" fontId="5" fillId="0" borderId="2" xfId="0" applyFont="1" applyBorder="1" applyAlignment="1">
      <alignment horizontal="left"/>
    </xf>
    <xf numFmtId="37" fontId="6" fillId="0" borderId="0" xfId="3" applyFont="1" applyAlignment="1">
      <alignment horizontal="left"/>
    </xf>
    <xf numFmtId="0" fontId="6" fillId="0" borderId="1" xfId="0" applyFont="1" applyBorder="1"/>
    <xf numFmtId="165" fontId="5" fillId="0" borderId="0" xfId="1" applyNumberFormat="1" applyFont="1" applyFill="1" applyBorder="1"/>
    <xf numFmtId="166" fontId="5" fillId="2" borderId="2" xfId="1" applyNumberFormat="1" applyFont="1" applyFill="1" applyBorder="1"/>
    <xf numFmtId="166" fontId="5" fillId="0" borderId="2" xfId="1" applyNumberFormat="1" applyFont="1" applyFill="1" applyBorder="1"/>
    <xf numFmtId="164" fontId="5" fillId="0" borderId="0" xfId="1" applyNumberFormat="1" applyFont="1" applyFill="1" applyBorder="1"/>
    <xf numFmtId="165" fontId="5" fillId="0" borderId="2" xfId="1" applyNumberFormat="1" applyFont="1" applyFill="1" applyBorder="1"/>
    <xf numFmtId="164" fontId="5" fillId="0" borderId="1" xfId="1" applyNumberFormat="1" applyFont="1" applyFill="1" applyBorder="1"/>
    <xf numFmtId="167" fontId="5" fillId="0" borderId="0" xfId="1" applyNumberFormat="1" applyFont="1" applyFill="1" applyBorder="1"/>
    <xf numFmtId="43" fontId="5" fillId="0" borderId="0" xfId="1" applyFont="1" applyFill="1" applyBorder="1"/>
    <xf numFmtId="166" fontId="5" fillId="0" borderId="1" xfId="1" applyNumberFormat="1" applyFont="1" applyFill="1" applyBorder="1"/>
    <xf numFmtId="168" fontId="5" fillId="0" borderId="0" xfId="4" applyNumberFormat="1" applyFont="1" applyFill="1" applyBorder="1"/>
    <xf numFmtId="168" fontId="5" fillId="0" borderId="2" xfId="4" applyNumberFormat="1" applyFont="1" applyFill="1" applyBorder="1"/>
    <xf numFmtId="37" fontId="5" fillId="0" borderId="4" xfId="3" applyFont="1" applyBorder="1" applyAlignment="1">
      <alignment horizontal="center"/>
    </xf>
    <xf numFmtId="166" fontId="5" fillId="0" borderId="4" xfId="1" applyNumberFormat="1" applyFont="1" applyFill="1" applyBorder="1"/>
    <xf numFmtId="167" fontId="5" fillId="0" borderId="2" xfId="1" applyNumberFormat="1" applyFont="1" applyFill="1" applyBorder="1"/>
    <xf numFmtId="167" fontId="5" fillId="0" borderId="4" xfId="1" applyNumberFormat="1" applyFont="1" applyFill="1" applyBorder="1"/>
    <xf numFmtId="9" fontId="5" fillId="3" borderId="0" xfId="4" applyFont="1" applyFill="1" applyBorder="1"/>
    <xf numFmtId="0" fontId="9" fillId="0" borderId="0" xfId="0" applyFont="1" applyAlignment="1">
      <alignment horizontal="left"/>
    </xf>
    <xf numFmtId="49" fontId="5" fillId="0" borderId="0" xfId="0" applyNumberFormat="1" applyFont="1" applyAlignment="1">
      <alignment horizontal="left"/>
    </xf>
    <xf numFmtId="14" fontId="6" fillId="0" borderId="0" xfId="0" applyNumberFormat="1" applyFont="1"/>
    <xf numFmtId="168" fontId="5" fillId="0" borderId="0" xfId="0" applyNumberFormat="1" applyFont="1" applyAlignment="1">
      <alignment horizontal="center"/>
    </xf>
    <xf numFmtId="169" fontId="6" fillId="0" borderId="0" xfId="2" applyNumberFormat="1" applyFont="1" applyBorder="1" applyAlignment="1">
      <alignment horizontal="right"/>
    </xf>
    <xf numFmtId="168" fontId="5" fillId="3" borderId="0" xfId="4" applyNumberFormat="1" applyFont="1" applyFill="1" applyBorder="1"/>
    <xf numFmtId="0" fontId="6" fillId="0" borderId="0" xfId="0" applyFont="1" applyAlignment="1">
      <alignment horizontal="center"/>
    </xf>
    <xf numFmtId="168" fontId="5" fillId="0" borderId="1" xfId="4" applyNumberFormat="1" applyFont="1" applyBorder="1"/>
    <xf numFmtId="44" fontId="5" fillId="0" borderId="2" xfId="2" applyFont="1" applyFill="1" applyBorder="1" applyAlignment="1">
      <alignment horizontal="right"/>
    </xf>
    <xf numFmtId="49" fontId="5" fillId="0" borderId="3" xfId="0" applyNumberFormat="1" applyFont="1" applyBorder="1" applyAlignment="1">
      <alignment horizontal="center"/>
    </xf>
    <xf numFmtId="49" fontId="6" fillId="0" borderId="0" xfId="2" applyNumberFormat="1" applyFont="1" applyFill="1" applyBorder="1" applyAlignment="1">
      <alignment horizontal="left"/>
    </xf>
    <xf numFmtId="49" fontId="6" fillId="0" borderId="0" xfId="0" applyNumberFormat="1" applyFont="1"/>
    <xf numFmtId="49" fontId="5" fillId="0" borderId="2" xfId="0" applyNumberFormat="1" applyFont="1" applyBorder="1"/>
    <xf numFmtId="49" fontId="5" fillId="0" borderId="0" xfId="0" applyNumberFormat="1" applyFont="1"/>
    <xf numFmtId="49" fontId="5" fillId="0" borderId="1" xfId="0" applyNumberFormat="1" applyFont="1" applyBorder="1"/>
    <xf numFmtId="169" fontId="5" fillId="0" borderId="2" xfId="2" applyNumberFormat="1" applyFont="1" applyFill="1" applyBorder="1"/>
    <xf numFmtId="49" fontId="6" fillId="0" borderId="0" xfId="0" applyNumberFormat="1" applyFont="1" applyAlignment="1">
      <alignment horizontal="left"/>
    </xf>
    <xf numFmtId="49" fontId="6" fillId="0" borderId="1" xfId="0" applyNumberFormat="1" applyFont="1" applyBorder="1" applyAlignment="1">
      <alignment horizontal="left"/>
    </xf>
    <xf numFmtId="49" fontId="5" fillId="0" borderId="0" xfId="2" applyNumberFormat="1" applyFont="1" applyFill="1" applyBorder="1" applyAlignment="1">
      <alignment horizontal="center"/>
    </xf>
    <xf numFmtId="49" fontId="5" fillId="0" borderId="0" xfId="2" applyNumberFormat="1" applyFont="1" applyFill="1" applyBorder="1" applyAlignment="1">
      <alignment horizontal="left"/>
    </xf>
    <xf numFmtId="49" fontId="5" fillId="0" borderId="1" xfId="2" applyNumberFormat="1" applyFont="1" applyFill="1" applyBorder="1" applyAlignment="1">
      <alignment horizontal="center"/>
    </xf>
    <xf numFmtId="49" fontId="5" fillId="0" borderId="0" xfId="2" applyNumberFormat="1" applyFont="1" applyBorder="1"/>
    <xf numFmtId="49" fontId="5" fillId="0" borderId="2" xfId="2" applyNumberFormat="1" applyFont="1" applyBorder="1"/>
    <xf numFmtId="49" fontId="6" fillId="0" borderId="0" xfId="3" applyNumberFormat="1" applyFont="1"/>
    <xf numFmtId="49" fontId="6" fillId="0" borderId="1" xfId="0" applyNumberFormat="1" applyFont="1" applyBorder="1"/>
    <xf numFmtId="168" fontId="5" fillId="0" borderId="0" xfId="4" applyNumberFormat="1" applyFont="1" applyFill="1" applyBorder="1" applyAlignment="1">
      <alignment horizontal="center"/>
    </xf>
    <xf numFmtId="169" fontId="5" fillId="2" borderId="2" xfId="2" applyNumberFormat="1" applyFont="1" applyFill="1" applyBorder="1"/>
    <xf numFmtId="3" fontId="5" fillId="0" borderId="0" xfId="1" applyNumberFormat="1" applyFont="1" applyBorder="1" applyAlignment="1">
      <alignment horizontal="center"/>
    </xf>
    <xf numFmtId="3" fontId="5" fillId="0" borderId="2" xfId="1" applyNumberFormat="1" applyFont="1" applyBorder="1" applyAlignment="1">
      <alignment horizontal="center"/>
    </xf>
    <xf numFmtId="166" fontId="6" fillId="0" borderId="0" xfId="1" applyNumberFormat="1" applyFont="1" applyBorder="1"/>
    <xf numFmtId="166" fontId="5" fillId="0" borderId="1" xfId="1" applyNumberFormat="1" applyFont="1" applyBorder="1"/>
    <xf numFmtId="166" fontId="6" fillId="0" borderId="1" xfId="1" applyNumberFormat="1" applyFont="1" applyBorder="1"/>
    <xf numFmtId="166" fontId="5" fillId="0" borderId="2" xfId="1" applyNumberFormat="1" applyFont="1" applyBorder="1"/>
    <xf numFmtId="166" fontId="5" fillId="0" borderId="4" xfId="1" applyNumberFormat="1" applyFont="1" applyBorder="1"/>
    <xf numFmtId="166" fontId="6" fillId="0" borderId="0" xfId="1" applyNumberFormat="1" applyFont="1" applyBorder="1" applyAlignment="1">
      <alignment horizontal="left"/>
    </xf>
    <xf numFmtId="166" fontId="6" fillId="0" borderId="1" xfId="1" applyNumberFormat="1" applyFont="1" applyBorder="1" applyAlignment="1">
      <alignment horizontal="left"/>
    </xf>
    <xf numFmtId="166" fontId="5" fillId="0" borderId="0" xfId="1" applyNumberFormat="1" applyFont="1" applyBorder="1" applyAlignment="1">
      <alignment horizontal="center"/>
    </xf>
    <xf numFmtId="166" fontId="5" fillId="0" borderId="4" xfId="1" applyNumberFormat="1" applyFont="1" applyBorder="1" applyAlignment="1">
      <alignment horizontal="center"/>
    </xf>
    <xf numFmtId="166" fontId="5" fillId="0" borderId="0" xfId="0" applyNumberFormat="1" applyFont="1"/>
    <xf numFmtId="169" fontId="7" fillId="0" borderId="2" xfId="2" applyNumberFormat="1" applyFont="1" applyBorder="1"/>
    <xf numFmtId="166" fontId="5" fillId="0" borderId="0" xfId="2" applyNumberFormat="1" applyFont="1" applyFill="1" applyBorder="1"/>
    <xf numFmtId="49" fontId="5" fillId="0" borderId="3" xfId="0" applyNumberFormat="1" applyFont="1" applyBorder="1"/>
    <xf numFmtId="44" fontId="5" fillId="2" borderId="0" xfId="2" applyFont="1" applyFill="1" applyBorder="1" applyAlignment="1">
      <alignment horizontal="center"/>
    </xf>
    <xf numFmtId="44" fontId="5" fillId="2" borderId="2" xfId="2" applyFont="1" applyFill="1" applyBorder="1" applyAlignment="1">
      <alignment horizontal="right"/>
    </xf>
    <xf numFmtId="169" fontId="9" fillId="0" borderId="1" xfId="2" applyNumberFormat="1" applyFont="1" applyBorder="1"/>
    <xf numFmtId="49" fontId="5" fillId="0" borderId="4" xfId="0" applyNumberFormat="1" applyFont="1" applyBorder="1"/>
    <xf numFmtId="49" fontId="5" fillId="0" borderId="0" xfId="0" quotePrefix="1" applyNumberFormat="1" applyFont="1"/>
    <xf numFmtId="0" fontId="4" fillId="0" borderId="0" xfId="0" applyFont="1"/>
    <xf numFmtId="166" fontId="4" fillId="0" borderId="0" xfId="1" applyNumberFormat="1" applyFont="1"/>
    <xf numFmtId="0" fontId="2" fillId="0" borderId="0" xfId="0" applyFont="1" applyAlignment="1">
      <alignment horizontal="left"/>
    </xf>
    <xf numFmtId="166" fontId="4" fillId="0" borderId="2" xfId="1" applyNumberFormat="1" applyFont="1" applyBorder="1"/>
    <xf numFmtId="169" fontId="4" fillId="0" borderId="2" xfId="2" applyNumberFormat="1" applyFont="1" applyBorder="1"/>
    <xf numFmtId="169" fontId="4" fillId="0" borderId="4" xfId="2" applyNumberFormat="1" applyFont="1" applyBorder="1"/>
    <xf numFmtId="169" fontId="4" fillId="0" borderId="0" xfId="2" applyNumberFormat="1" applyFont="1" applyBorder="1"/>
    <xf numFmtId="0" fontId="4" fillId="0" borderId="1" xfId="0" applyFont="1" applyBorder="1"/>
    <xf numFmtId="9" fontId="5" fillId="0" borderId="1" xfId="4" applyFont="1" applyBorder="1"/>
    <xf numFmtId="49" fontId="5" fillId="0" borderId="0" xfId="0" applyNumberFormat="1" applyFont="1" applyAlignment="1">
      <alignment horizontal="right"/>
    </xf>
    <xf numFmtId="44" fontId="5" fillId="0" borderId="0" xfId="2" applyFont="1" applyBorder="1" applyAlignment="1">
      <alignment horizontal="center"/>
    </xf>
    <xf numFmtId="44" fontId="5" fillId="0" borderId="0" xfId="2" applyFont="1" applyFill="1" applyBorder="1" applyAlignment="1">
      <alignment horizontal="center"/>
    </xf>
    <xf numFmtId="1" fontId="5" fillId="0" borderId="0" xfId="2" applyNumberFormat="1" applyFont="1" applyFill="1" applyBorder="1" applyAlignment="1">
      <alignment horizontal="center"/>
    </xf>
    <xf numFmtId="0" fontId="9" fillId="0" borderId="0" xfId="0" applyFont="1"/>
    <xf numFmtId="37" fontId="5" fillId="0" borderId="2" xfId="3" applyFont="1" applyBorder="1"/>
    <xf numFmtId="3" fontId="5" fillId="0" borderId="0" xfId="0" applyNumberFormat="1" applyFont="1" applyAlignment="1">
      <alignment horizontal="right"/>
    </xf>
    <xf numFmtId="0" fontId="8" fillId="0" borderId="0" xfId="0" applyFont="1"/>
    <xf numFmtId="170" fontId="5" fillId="3" borderId="0" xfId="0" applyNumberFormat="1" applyFont="1" applyFill="1"/>
    <xf numFmtId="0" fontId="10" fillId="0" borderId="0" xfId="0" applyFont="1"/>
    <xf numFmtId="49" fontId="5" fillId="0" borderId="0" xfId="2" applyNumberFormat="1" applyFont="1" applyBorder="1" applyAlignment="1">
      <alignment horizontal="left" indent="1"/>
    </xf>
    <xf numFmtId="49" fontId="5" fillId="0" borderId="0" xfId="2" applyNumberFormat="1" applyFont="1" applyFill="1" applyBorder="1" applyAlignment="1">
      <alignment horizontal="left" indent="1"/>
    </xf>
    <xf numFmtId="49" fontId="5" fillId="0" borderId="0" xfId="2" applyNumberFormat="1" applyFont="1" applyBorder="1" applyAlignment="1">
      <alignment horizontal="left"/>
    </xf>
    <xf numFmtId="49" fontId="5" fillId="0" borderId="0" xfId="2" applyNumberFormat="1" applyFont="1" applyBorder="1" applyAlignment="1">
      <alignment horizontal="left" indent="2"/>
    </xf>
    <xf numFmtId="166" fontId="5" fillId="0" borderId="0" xfId="1" applyNumberFormat="1" applyFont="1" applyFill="1" applyBorder="1" applyAlignment="1">
      <alignment horizontal="center"/>
    </xf>
    <xf numFmtId="166" fontId="4" fillId="0" borderId="2" xfId="1" applyNumberFormat="1" applyFont="1" applyBorder="1" applyAlignment="1">
      <alignment horizontal="center"/>
    </xf>
    <xf numFmtId="0" fontId="4" fillId="0" borderId="2" xfId="0" applyFont="1" applyBorder="1" applyAlignment="1">
      <alignment horizontal="center"/>
    </xf>
    <xf numFmtId="0" fontId="4" fillId="0" borderId="0" xfId="0" applyFont="1" applyAlignment="1">
      <alignment horizontal="center"/>
    </xf>
    <xf numFmtId="166" fontId="4" fillId="0" borderId="0" xfId="1" applyNumberFormat="1" applyFont="1" applyBorder="1" applyAlignment="1">
      <alignment horizontal="center"/>
    </xf>
    <xf numFmtId="0" fontId="4" fillId="0" borderId="2" xfId="0" applyFont="1" applyBorder="1"/>
    <xf numFmtId="166" fontId="5" fillId="0" borderId="2" xfId="1" applyNumberFormat="1" applyFont="1" applyBorder="1" applyAlignment="1">
      <alignment horizontal="right"/>
    </xf>
    <xf numFmtId="167" fontId="5" fillId="0" borderId="3" xfId="1" applyNumberFormat="1" applyFont="1" applyFill="1" applyBorder="1"/>
    <xf numFmtId="0" fontId="2" fillId="0" borderId="0" xfId="0" applyFont="1"/>
    <xf numFmtId="43" fontId="5" fillId="0" borderId="0" xfId="0" applyNumberFormat="1" applyFont="1"/>
    <xf numFmtId="166" fontId="5" fillId="0" borderId="2" xfId="2" applyNumberFormat="1" applyFont="1" applyFill="1" applyBorder="1"/>
    <xf numFmtId="49" fontId="5" fillId="0" borderId="2" xfId="0" applyNumberFormat="1" applyFont="1" applyBorder="1" applyAlignment="1">
      <alignment horizontal="left"/>
    </xf>
    <xf numFmtId="166" fontId="2" fillId="0" borderId="0" xfId="1" applyNumberFormat="1" applyFont="1" applyFill="1" applyBorder="1"/>
    <xf numFmtId="0" fontId="4" fillId="0" borderId="0" xfId="0" applyFont="1" applyAlignment="1">
      <alignment horizontal="left"/>
    </xf>
    <xf numFmtId="169" fontId="2" fillId="0" borderId="0" xfId="2" applyNumberFormat="1" applyFont="1" applyBorder="1"/>
    <xf numFmtId="166" fontId="4" fillId="2" borderId="0" xfId="1" applyNumberFormat="1" applyFont="1" applyFill="1" applyBorder="1" applyAlignment="1">
      <alignment horizontal="center"/>
    </xf>
    <xf numFmtId="166" fontId="4" fillId="2" borderId="2" xfId="1" applyNumberFormat="1" applyFont="1" applyFill="1" applyBorder="1" applyAlignment="1">
      <alignment horizontal="center"/>
    </xf>
    <xf numFmtId="49" fontId="5" fillId="0" borderId="0" xfId="1" applyNumberFormat="1" applyFont="1" applyBorder="1"/>
    <xf numFmtId="169" fontId="6" fillId="0" borderId="0" xfId="2" applyNumberFormat="1" applyFont="1" applyBorder="1"/>
    <xf numFmtId="166" fontId="5" fillId="0" borderId="3" xfId="1" applyNumberFormat="1" applyFont="1" applyFill="1" applyBorder="1"/>
    <xf numFmtId="0" fontId="5" fillId="0" borderId="6" xfId="0" applyFont="1" applyBorder="1"/>
    <xf numFmtId="0" fontId="5" fillId="0" borderId="7" xfId="0" applyFont="1" applyBorder="1"/>
    <xf numFmtId="169" fontId="5" fillId="0" borderId="6" xfId="2" applyNumberFormat="1" applyFont="1" applyBorder="1"/>
    <xf numFmtId="169" fontId="5" fillId="0" borderId="8" xfId="2" applyNumberFormat="1" applyFont="1" applyBorder="1"/>
    <xf numFmtId="169" fontId="5" fillId="0" borderId="7" xfId="2" applyNumberFormat="1" applyFont="1" applyBorder="1"/>
    <xf numFmtId="168" fontId="5" fillId="0" borderId="6" xfId="4" applyNumberFormat="1" applyFont="1" applyBorder="1"/>
    <xf numFmtId="165" fontId="5" fillId="0" borderId="6" xfId="1" applyNumberFormat="1" applyFont="1" applyBorder="1"/>
    <xf numFmtId="165" fontId="5" fillId="0" borderId="6" xfId="1" applyNumberFormat="1" applyFont="1" applyFill="1" applyBorder="1"/>
    <xf numFmtId="168" fontId="5" fillId="0" borderId="7" xfId="4" applyNumberFormat="1" applyFont="1" applyBorder="1"/>
    <xf numFmtId="169" fontId="5" fillId="0" borderId="6" xfId="2" applyNumberFormat="1" applyFont="1" applyFill="1" applyBorder="1"/>
    <xf numFmtId="9" fontId="5" fillId="0" borderId="6" xfId="4" applyFont="1" applyBorder="1"/>
    <xf numFmtId="1" fontId="5" fillId="0" borderId="6" xfId="2" applyNumberFormat="1" applyFont="1" applyBorder="1" applyAlignment="1">
      <alignment horizontal="center"/>
    </xf>
    <xf numFmtId="168" fontId="5" fillId="3" borderId="6" xfId="4" applyNumberFormat="1" applyFont="1" applyFill="1" applyBorder="1"/>
    <xf numFmtId="44" fontId="5" fillId="0" borderId="6" xfId="2" applyFont="1" applyFill="1" applyBorder="1" applyAlignment="1">
      <alignment horizontal="center"/>
    </xf>
    <xf numFmtId="44" fontId="5" fillId="0" borderId="6" xfId="2" applyFont="1" applyBorder="1" applyAlignment="1">
      <alignment horizontal="center"/>
    </xf>
    <xf numFmtId="44" fontId="5" fillId="0" borderId="6" xfId="2" applyFont="1" applyFill="1" applyBorder="1" applyAlignment="1">
      <alignment horizontal="right"/>
    </xf>
    <xf numFmtId="44" fontId="5" fillId="0" borderId="7" xfId="2" applyFont="1" applyFill="1" applyBorder="1" applyAlignment="1">
      <alignment horizontal="right"/>
    </xf>
    <xf numFmtId="169" fontId="5" fillId="0" borderId="6" xfId="2" applyNumberFormat="1" applyFont="1" applyFill="1" applyBorder="1" applyAlignment="1">
      <alignment horizontal="center"/>
    </xf>
    <xf numFmtId="169" fontId="5" fillId="0" borderId="7" xfId="2" applyNumberFormat="1" applyFont="1" applyFill="1" applyBorder="1" applyAlignment="1">
      <alignment horizontal="center"/>
    </xf>
    <xf numFmtId="168" fontId="5" fillId="0" borderId="6" xfId="4" applyNumberFormat="1" applyFont="1" applyFill="1" applyBorder="1"/>
    <xf numFmtId="168" fontId="5" fillId="0" borderId="6" xfId="4" applyNumberFormat="1" applyFont="1" applyFill="1" applyBorder="1" applyAlignment="1">
      <alignment horizontal="center"/>
    </xf>
    <xf numFmtId="169" fontId="5" fillId="2" borderId="6" xfId="2" applyNumberFormat="1" applyFont="1" applyFill="1" applyBorder="1"/>
    <xf numFmtId="169" fontId="5" fillId="2" borderId="8" xfId="2" applyNumberFormat="1" applyFont="1" applyFill="1" applyBorder="1"/>
    <xf numFmtId="169" fontId="5" fillId="0" borderId="9" xfId="2" applyNumberFormat="1" applyFont="1" applyBorder="1"/>
    <xf numFmtId="169" fontId="2" fillId="0" borderId="6" xfId="2" applyNumberFormat="1" applyFont="1" applyBorder="1"/>
    <xf numFmtId="169" fontId="6" fillId="0" borderId="6" xfId="2" applyNumberFormat="1" applyFont="1" applyBorder="1"/>
    <xf numFmtId="169" fontId="5" fillId="0" borderId="8" xfId="2" applyNumberFormat="1" applyFont="1" applyFill="1" applyBorder="1"/>
    <xf numFmtId="1" fontId="5" fillId="0" borderId="6" xfId="2" applyNumberFormat="1" applyFont="1" applyFill="1" applyBorder="1" applyAlignment="1">
      <alignment horizontal="center"/>
    </xf>
    <xf numFmtId="44" fontId="5" fillId="0" borderId="6" xfId="2" applyFont="1" applyBorder="1"/>
    <xf numFmtId="37" fontId="5" fillId="0" borderId="7" xfId="3" applyFont="1" applyBorder="1"/>
    <xf numFmtId="164" fontId="5" fillId="0" borderId="6" xfId="1" applyNumberFormat="1" applyFont="1" applyFill="1" applyBorder="1"/>
    <xf numFmtId="166" fontId="5" fillId="0" borderId="6" xfId="1" applyNumberFormat="1" applyFont="1" applyFill="1" applyBorder="1"/>
    <xf numFmtId="166" fontId="5" fillId="0" borderId="8" xfId="1" applyNumberFormat="1" applyFont="1" applyFill="1" applyBorder="1"/>
    <xf numFmtId="166" fontId="5" fillId="0" borderId="10" xfId="1" applyNumberFormat="1" applyFont="1" applyFill="1" applyBorder="1"/>
    <xf numFmtId="167" fontId="5" fillId="0" borderId="6" xfId="1" applyNumberFormat="1" applyFont="1" applyFill="1" applyBorder="1"/>
    <xf numFmtId="167" fontId="5" fillId="0" borderId="8" xfId="1" applyNumberFormat="1" applyFont="1" applyFill="1" applyBorder="1"/>
    <xf numFmtId="167" fontId="5" fillId="0" borderId="10" xfId="1" applyNumberFormat="1" applyFont="1" applyFill="1" applyBorder="1"/>
    <xf numFmtId="164" fontId="5" fillId="0" borderId="7" xfId="1" applyNumberFormat="1" applyFont="1" applyFill="1" applyBorder="1"/>
    <xf numFmtId="165" fontId="5" fillId="0" borderId="8" xfId="1" applyNumberFormat="1" applyFont="1" applyFill="1" applyBorder="1"/>
    <xf numFmtId="43" fontId="5" fillId="0" borderId="6" xfId="1" applyFont="1" applyFill="1" applyBorder="1"/>
    <xf numFmtId="166" fontId="5" fillId="0" borderId="7" xfId="1" applyNumberFormat="1" applyFont="1" applyFill="1" applyBorder="1"/>
    <xf numFmtId="166" fontId="5" fillId="0" borderId="9" xfId="1" applyNumberFormat="1" applyFont="1" applyFill="1" applyBorder="1"/>
    <xf numFmtId="167" fontId="5" fillId="0" borderId="9" xfId="1" applyNumberFormat="1" applyFont="1" applyFill="1" applyBorder="1"/>
    <xf numFmtId="166" fontId="4" fillId="0" borderId="6" xfId="1" applyNumberFormat="1" applyFont="1" applyBorder="1" applyAlignment="1">
      <alignment horizontal="center"/>
    </xf>
    <xf numFmtId="166" fontId="4" fillId="0" borderId="8" xfId="1" applyNumberFormat="1" applyFont="1" applyBorder="1" applyAlignment="1">
      <alignment horizontal="center"/>
    </xf>
    <xf numFmtId="169" fontId="6" fillId="0" borderId="0" xfId="0" applyNumberFormat="1" applyFont="1"/>
    <xf numFmtId="168" fontId="5" fillId="0" borderId="1" xfId="4" applyNumberFormat="1" applyFont="1" applyFill="1" applyBorder="1"/>
    <xf numFmtId="43" fontId="5" fillId="0" borderId="0" xfId="1" applyFont="1" applyBorder="1"/>
    <xf numFmtId="43" fontId="5" fillId="0" borderId="6" xfId="1" applyFont="1" applyBorder="1"/>
    <xf numFmtId="168" fontId="5" fillId="0" borderId="1" xfId="0" applyNumberFormat="1" applyFont="1" applyBorder="1" applyAlignment="1">
      <alignment horizontal="center"/>
    </xf>
    <xf numFmtId="9" fontId="5" fillId="0" borderId="0" xfId="4" applyFont="1" applyBorder="1" applyAlignment="1">
      <alignment horizontal="center"/>
    </xf>
    <xf numFmtId="168" fontId="4" fillId="0" borderId="0" xfId="4" applyNumberFormat="1" applyFont="1" applyBorder="1" applyAlignment="1">
      <alignment horizontal="right"/>
    </xf>
    <xf numFmtId="0" fontId="5" fillId="0" borderId="6" xfId="0" applyFont="1" applyBorder="1" applyAlignment="1">
      <alignment horizontal="center"/>
    </xf>
    <xf numFmtId="169" fontId="5" fillId="0" borderId="0" xfId="0" applyNumberFormat="1" applyFont="1" applyAlignment="1">
      <alignment horizontal="center"/>
    </xf>
    <xf numFmtId="43" fontId="5" fillId="3" borderId="0" xfId="1" applyFont="1" applyFill="1" applyBorder="1"/>
    <xf numFmtId="43" fontId="5" fillId="3" borderId="6" xfId="1" applyFont="1" applyFill="1" applyBorder="1"/>
    <xf numFmtId="44" fontId="5" fillId="0" borderId="0" xfId="2" applyFont="1" applyFill="1" applyBorder="1"/>
    <xf numFmtId="0" fontId="0" fillId="0" borderId="1" xfId="0" applyBorder="1"/>
    <xf numFmtId="0" fontId="0" fillId="0" borderId="6" xfId="0" applyBorder="1"/>
    <xf numFmtId="9" fontId="5" fillId="0" borderId="0" xfId="4" applyFont="1" applyFill="1" applyBorder="1"/>
    <xf numFmtId="37" fontId="5" fillId="0" borderId="0" xfId="3" applyFont="1" applyAlignment="1">
      <alignment horizontal="centerContinuous"/>
    </xf>
    <xf numFmtId="44" fontId="5" fillId="2" borderId="0" xfId="2" applyFont="1" applyFill="1" applyBorder="1" applyAlignment="1">
      <alignment horizontal="right"/>
    </xf>
    <xf numFmtId="49" fontId="5" fillId="0" borderId="2" xfId="0" applyNumberFormat="1" applyFont="1" applyBorder="1" applyAlignment="1">
      <alignment horizontal="right"/>
    </xf>
    <xf numFmtId="49" fontId="5" fillId="4" borderId="2" xfId="0" applyNumberFormat="1" applyFont="1" applyFill="1" applyBorder="1" applyAlignment="1">
      <alignment horizontal="center"/>
    </xf>
    <xf numFmtId="1" fontId="5" fillId="4" borderId="2" xfId="2" applyNumberFormat="1" applyFont="1" applyFill="1" applyBorder="1" applyAlignment="1">
      <alignment horizontal="center"/>
    </xf>
    <xf numFmtId="1" fontId="5" fillId="4" borderId="8" xfId="2" applyNumberFormat="1" applyFont="1" applyFill="1" applyBorder="1" applyAlignment="1">
      <alignment horizontal="center"/>
    </xf>
    <xf numFmtId="37" fontId="6" fillId="0" borderId="0" xfId="3" applyFont="1" applyAlignment="1">
      <alignment horizontal="center"/>
    </xf>
    <xf numFmtId="0" fontId="5" fillId="0" borderId="3" xfId="0" applyFont="1" applyBorder="1"/>
    <xf numFmtId="165" fontId="5" fillId="0" borderId="3" xfId="1" applyNumberFormat="1" applyFont="1" applyFill="1" applyBorder="1"/>
    <xf numFmtId="165" fontId="5" fillId="0" borderId="10" xfId="1" applyNumberFormat="1" applyFont="1" applyFill="1" applyBorder="1"/>
    <xf numFmtId="165" fontId="5" fillId="0" borderId="4" xfId="1" applyNumberFormat="1" applyFont="1" applyFill="1" applyBorder="1"/>
    <xf numFmtId="165" fontId="5" fillId="0" borderId="9" xfId="1" applyNumberFormat="1" applyFont="1" applyFill="1" applyBorder="1"/>
    <xf numFmtId="37" fontId="5" fillId="0" borderId="2" xfId="3" applyFont="1" applyBorder="1" applyAlignment="1">
      <alignment horizontal="center"/>
    </xf>
    <xf numFmtId="0" fontId="6" fillId="0" borderId="4" xfId="0" applyFont="1" applyBorder="1"/>
    <xf numFmtId="0" fontId="4" fillId="0" borderId="4" xfId="0" applyFont="1" applyBorder="1" applyAlignment="1">
      <alignment horizontal="center"/>
    </xf>
    <xf numFmtId="0" fontId="4" fillId="0" borderId="4" xfId="0" applyFont="1" applyBorder="1"/>
    <xf numFmtId="166" fontId="4" fillId="0" borderId="4" xfId="1" applyNumberFormat="1" applyFont="1" applyBorder="1" applyAlignment="1">
      <alignment horizontal="center"/>
    </xf>
    <xf numFmtId="166" fontId="4" fillId="0" borderId="9" xfId="1" applyNumberFormat="1" applyFont="1" applyBorder="1" applyAlignment="1">
      <alignment horizontal="center"/>
    </xf>
    <xf numFmtId="9" fontId="5" fillId="3" borderId="6" xfId="4" applyFont="1" applyFill="1" applyBorder="1"/>
    <xf numFmtId="9" fontId="5" fillId="0" borderId="6" xfId="4" applyFont="1" applyFill="1" applyBorder="1"/>
    <xf numFmtId="168" fontId="4" fillId="0" borderId="6" xfId="4" applyNumberFormat="1" applyFont="1" applyBorder="1" applyAlignment="1">
      <alignment horizontal="right"/>
    </xf>
    <xf numFmtId="168" fontId="4" fillId="0" borderId="2" xfId="4" applyNumberFormat="1" applyFont="1" applyBorder="1" applyAlignment="1">
      <alignment horizontal="right"/>
    </xf>
    <xf numFmtId="168" fontId="4" fillId="0" borderId="8" xfId="4" applyNumberFormat="1" applyFont="1" applyBorder="1" applyAlignment="1">
      <alignment horizontal="right"/>
    </xf>
    <xf numFmtId="168" fontId="5" fillId="0" borderId="0" xfId="0" applyNumberFormat="1" applyFont="1"/>
    <xf numFmtId="168" fontId="5" fillId="0" borderId="6" xfId="0" applyNumberFormat="1" applyFont="1" applyBorder="1"/>
    <xf numFmtId="168" fontId="5" fillId="0" borderId="0" xfId="1" applyNumberFormat="1" applyFont="1" applyFill="1" applyBorder="1"/>
    <xf numFmtId="168" fontId="5" fillId="0" borderId="6" xfId="1" applyNumberFormat="1" applyFont="1" applyFill="1" applyBorder="1"/>
    <xf numFmtId="168" fontId="4" fillId="0" borderId="4" xfId="1" applyNumberFormat="1" applyFont="1" applyBorder="1" applyAlignment="1">
      <alignment horizontal="center"/>
    </xf>
    <xf numFmtId="168" fontId="4" fillId="0" borderId="9" xfId="1" applyNumberFormat="1" applyFont="1" applyBorder="1" applyAlignment="1">
      <alignment horizontal="center"/>
    </xf>
    <xf numFmtId="168" fontId="4" fillId="0" borderId="0" xfId="1" applyNumberFormat="1" applyFont="1" applyBorder="1" applyAlignment="1">
      <alignment horizontal="center"/>
    </xf>
    <xf numFmtId="168" fontId="4" fillId="0" borderId="6" xfId="1" applyNumberFormat="1" applyFont="1" applyBorder="1" applyAlignment="1">
      <alignment horizontal="center"/>
    </xf>
    <xf numFmtId="49" fontId="5" fillId="4" borderId="15" xfId="0" applyNumberFormat="1" applyFont="1" applyFill="1" applyBorder="1" applyAlignment="1">
      <alignment horizontal="center"/>
    </xf>
    <xf numFmtId="165" fontId="5" fillId="0" borderId="0" xfId="0" applyNumberFormat="1" applyFont="1"/>
    <xf numFmtId="165" fontId="5" fillId="0" borderId="6" xfId="0" applyNumberFormat="1" applyFont="1" applyBorder="1"/>
    <xf numFmtId="165" fontId="5" fillId="0" borderId="4" xfId="0" applyNumberFormat="1" applyFont="1" applyBorder="1"/>
    <xf numFmtId="165" fontId="5" fillId="0" borderId="9" xfId="0" applyNumberFormat="1" applyFont="1" applyBorder="1"/>
    <xf numFmtId="165" fontId="6" fillId="0" borderId="0" xfId="0" applyNumberFormat="1" applyFont="1"/>
    <xf numFmtId="165" fontId="6" fillId="0" borderId="6" xfId="0" applyNumberFormat="1" applyFont="1" applyBorder="1"/>
    <xf numFmtId="44" fontId="5" fillId="3" borderId="0" xfId="2" applyFont="1" applyFill="1" applyBorder="1" applyAlignment="1">
      <alignment horizontal="right"/>
    </xf>
    <xf numFmtId="44" fontId="5" fillId="0" borderId="8" xfId="2" applyFont="1" applyFill="1" applyBorder="1" applyAlignment="1">
      <alignment horizontal="right"/>
    </xf>
    <xf numFmtId="168" fontId="5" fillId="3" borderId="0" xfId="4" applyNumberFormat="1" applyFont="1" applyFill="1" applyBorder="1" applyAlignment="1">
      <alignment horizontal="right"/>
    </xf>
    <xf numFmtId="168" fontId="5" fillId="0" borderId="0" xfId="4" applyNumberFormat="1" applyFont="1" applyFill="1" applyBorder="1" applyAlignment="1">
      <alignment horizontal="right"/>
    </xf>
    <xf numFmtId="168" fontId="5" fillId="3" borderId="6" xfId="4" applyNumberFormat="1" applyFont="1" applyFill="1" applyBorder="1" applyAlignment="1">
      <alignment horizontal="right"/>
    </xf>
    <xf numFmtId="168" fontId="5" fillId="0" borderId="6" xfId="4" applyNumberFormat="1" applyFont="1" applyFill="1" applyBorder="1" applyAlignment="1">
      <alignment horizontal="right"/>
    </xf>
    <xf numFmtId="0" fontId="4" fillId="0" borderId="6" xfId="0" applyFont="1" applyBorder="1"/>
    <xf numFmtId="1" fontId="2" fillId="0" borderId="0" xfId="0" applyNumberFormat="1" applyFont="1" applyAlignment="1">
      <alignment horizontal="center"/>
    </xf>
    <xf numFmtId="169" fontId="4" fillId="0" borderId="6" xfId="2" applyNumberFormat="1" applyFont="1" applyBorder="1"/>
    <xf numFmtId="0" fontId="4" fillId="0" borderId="2" xfId="0" applyFont="1" applyBorder="1" applyAlignment="1">
      <alignment horizontal="left"/>
    </xf>
    <xf numFmtId="169" fontId="4" fillId="0" borderId="8" xfId="2" applyNumberFormat="1" applyFont="1" applyBorder="1"/>
    <xf numFmtId="0" fontId="4" fillId="0" borderId="0" xfId="0" applyFont="1" applyAlignment="1">
      <alignment horizontal="right"/>
    </xf>
    <xf numFmtId="169" fontId="4" fillId="0" borderId="9" xfId="2" applyNumberFormat="1" applyFont="1" applyBorder="1"/>
    <xf numFmtId="0" fontId="4" fillId="0" borderId="7" xfId="0" applyFont="1" applyBorder="1"/>
    <xf numFmtId="0" fontId="7" fillId="4" borderId="13" xfId="0" applyFont="1" applyFill="1" applyBorder="1"/>
    <xf numFmtId="0" fontId="5" fillId="0" borderId="0" xfId="2" applyNumberFormat="1" applyFont="1" applyBorder="1"/>
    <xf numFmtId="0" fontId="5" fillId="4" borderId="15" xfId="0" applyFont="1" applyFill="1" applyBorder="1" applyAlignment="1">
      <alignment horizontal="center"/>
    </xf>
    <xf numFmtId="49" fontId="5" fillId="0" borderId="2" xfId="2" applyNumberFormat="1" applyFont="1" applyBorder="1" applyAlignment="1">
      <alignment horizontal="left"/>
    </xf>
    <xf numFmtId="49" fontId="8" fillId="0" borderId="0" xfId="0" applyNumberFormat="1" applyFont="1" applyAlignment="1">
      <alignment horizontal="center"/>
    </xf>
    <xf numFmtId="0" fontId="8" fillId="0" borderId="6" xfId="0" applyFont="1" applyBorder="1"/>
    <xf numFmtId="0" fontId="8" fillId="0" borderId="2" xfId="0" applyFont="1" applyBorder="1"/>
    <xf numFmtId="49" fontId="5" fillId="0" borderId="4" xfId="2" applyNumberFormat="1" applyFont="1" applyBorder="1"/>
    <xf numFmtId="9" fontId="5" fillId="0" borderId="0" xfId="2" applyNumberFormat="1" applyFont="1" applyBorder="1"/>
    <xf numFmtId="9" fontId="5" fillId="0" borderId="0" xfId="2" applyNumberFormat="1" applyFont="1" applyFill="1" applyBorder="1"/>
    <xf numFmtId="9" fontId="5" fillId="0" borderId="2" xfId="2" applyNumberFormat="1" applyFont="1" applyBorder="1"/>
    <xf numFmtId="9" fontId="5" fillId="0" borderId="4" xfId="2" applyNumberFormat="1" applyFont="1" applyBorder="1"/>
    <xf numFmtId="49" fontId="5" fillId="0" borderId="1" xfId="2" applyNumberFormat="1" applyFont="1" applyBorder="1" applyAlignment="1">
      <alignment horizontal="left"/>
    </xf>
    <xf numFmtId="9" fontId="5" fillId="0" borderId="4" xfId="4" applyFont="1" applyBorder="1"/>
    <xf numFmtId="9" fontId="5" fillId="0" borderId="14" xfId="4" applyFont="1" applyBorder="1"/>
    <xf numFmtId="49" fontId="6" fillId="0" borderId="0" xfId="2" applyNumberFormat="1" applyFont="1" applyBorder="1" applyAlignment="1">
      <alignment horizontal="left"/>
    </xf>
    <xf numFmtId="9" fontId="5" fillId="0" borderId="1" xfId="2" applyNumberFormat="1" applyFont="1" applyBorder="1"/>
    <xf numFmtId="49" fontId="6" fillId="0" borderId="0" xfId="2" applyNumberFormat="1" applyFont="1" applyBorder="1" applyAlignment="1">
      <alignment horizontal="left" vertical="center"/>
    </xf>
    <xf numFmtId="1" fontId="5" fillId="4" borderId="15" xfId="2" applyNumberFormat="1" applyFont="1" applyFill="1" applyBorder="1" applyAlignment="1">
      <alignment horizontal="center"/>
    </xf>
    <xf numFmtId="1" fontId="5" fillId="4" borderId="16" xfId="2" applyNumberFormat="1" applyFont="1" applyFill="1" applyBorder="1" applyAlignment="1">
      <alignment horizontal="center"/>
    </xf>
    <xf numFmtId="1" fontId="5" fillId="3" borderId="1" xfId="0" applyNumberFormat="1" applyFont="1" applyFill="1" applyBorder="1"/>
    <xf numFmtId="0" fontId="5" fillId="6" borderId="2" xfId="0" applyFont="1" applyFill="1" applyBorder="1" applyAlignment="1">
      <alignment horizontal="center"/>
    </xf>
    <xf numFmtId="0" fontId="4" fillId="5" borderId="17" xfId="0" applyFont="1" applyFill="1" applyBorder="1"/>
    <xf numFmtId="169" fontId="4" fillId="5" borderId="18" xfId="2" applyNumberFormat="1" applyFont="1" applyFill="1" applyBorder="1"/>
    <xf numFmtId="169" fontId="4" fillId="5" borderId="18" xfId="0" applyNumberFormat="1" applyFont="1" applyFill="1" applyBorder="1"/>
    <xf numFmtId="0" fontId="5" fillId="0" borderId="2" xfId="2" applyNumberFormat="1" applyFont="1" applyBorder="1"/>
    <xf numFmtId="42" fontId="5" fillId="0" borderId="6" xfId="2" applyNumberFormat="1" applyFont="1" applyBorder="1"/>
    <xf numFmtId="42" fontId="5" fillId="0" borderId="0" xfId="2" applyNumberFormat="1" applyFont="1" applyBorder="1"/>
    <xf numFmtId="166" fontId="5" fillId="0" borderId="2" xfId="1" applyNumberFormat="1" applyFont="1" applyBorder="1" applyAlignment="1">
      <alignment horizontal="center"/>
    </xf>
    <xf numFmtId="44" fontId="5" fillId="0" borderId="2" xfId="2" applyFont="1" applyBorder="1"/>
    <xf numFmtId="42" fontId="5" fillId="0" borderId="8" xfId="2" applyNumberFormat="1" applyFont="1" applyBorder="1"/>
    <xf numFmtId="42" fontId="5" fillId="0" borderId="2" xfId="2" applyNumberFormat="1" applyFont="1" applyBorder="1"/>
    <xf numFmtId="44" fontId="5" fillId="0" borderId="4" xfId="2" applyFont="1" applyBorder="1"/>
    <xf numFmtId="42" fontId="5" fillId="0" borderId="9" xfId="2" applyNumberFormat="1" applyFont="1" applyBorder="1"/>
    <xf numFmtId="42" fontId="5" fillId="0" borderId="4" xfId="2" applyNumberFormat="1" applyFont="1" applyBorder="1"/>
    <xf numFmtId="49" fontId="5" fillId="4" borderId="1" xfId="0" applyNumberFormat="1" applyFont="1" applyFill="1" applyBorder="1" applyAlignment="1">
      <alignment horizontal="center"/>
    </xf>
    <xf numFmtId="1" fontId="5" fillId="4" borderId="1" xfId="2" applyNumberFormat="1" applyFont="1" applyFill="1" applyBorder="1" applyAlignment="1">
      <alignment horizontal="center"/>
    </xf>
    <xf numFmtId="1" fontId="5" fillId="4" borderId="7" xfId="2" applyNumberFormat="1" applyFont="1" applyFill="1" applyBorder="1" applyAlignment="1">
      <alignment horizontal="center"/>
    </xf>
    <xf numFmtId="169" fontId="7" fillId="0" borderId="1" xfId="2" applyNumberFormat="1" applyFont="1" applyBorder="1"/>
    <xf numFmtId="49" fontId="5" fillId="0" borderId="1" xfId="2" applyNumberFormat="1" applyFont="1" applyBorder="1"/>
    <xf numFmtId="169" fontId="7" fillId="0" borderId="4" xfId="2" applyNumberFormat="1" applyFont="1" applyBorder="1"/>
    <xf numFmtId="49" fontId="14" fillId="0" borderId="0" xfId="2" applyNumberFormat="1" applyFont="1" applyBorder="1"/>
    <xf numFmtId="49" fontId="14" fillId="0" borderId="4" xfId="2" applyNumberFormat="1" applyFont="1" applyBorder="1"/>
    <xf numFmtId="0" fontId="7" fillId="0" borderId="0" xfId="2" applyNumberFormat="1" applyFont="1" applyBorder="1"/>
    <xf numFmtId="0" fontId="7" fillId="0" borderId="2" xfId="2" applyNumberFormat="1" applyFont="1" applyBorder="1"/>
    <xf numFmtId="169" fontId="5" fillId="0" borderId="4" xfId="2" applyNumberFormat="1" applyFont="1" applyFill="1" applyBorder="1"/>
    <xf numFmtId="169" fontId="5" fillId="0" borderId="9" xfId="2" applyNumberFormat="1" applyFont="1" applyFill="1" applyBorder="1"/>
    <xf numFmtId="3" fontId="5" fillId="0" borderId="0" xfId="1" applyNumberFormat="1" applyFont="1" applyBorder="1"/>
    <xf numFmtId="3" fontId="6" fillId="0" borderId="0" xfId="1" applyNumberFormat="1" applyFont="1" applyBorder="1"/>
    <xf numFmtId="3" fontId="5" fillId="0" borderId="4" xfId="0" applyNumberFormat="1" applyFont="1" applyBorder="1"/>
    <xf numFmtId="3" fontId="5" fillId="0" borderId="4" xfId="1" applyNumberFormat="1" applyFont="1" applyBorder="1" applyAlignment="1">
      <alignment horizontal="center"/>
    </xf>
    <xf numFmtId="3" fontId="6" fillId="0" borderId="14" xfId="3" applyNumberFormat="1" applyFont="1" applyBorder="1" applyAlignment="1">
      <alignment horizontal="left"/>
    </xf>
    <xf numFmtId="3" fontId="5" fillId="0" borderId="0" xfId="3" applyNumberFormat="1" applyFont="1" applyAlignment="1">
      <alignment horizontal="right"/>
    </xf>
    <xf numFmtId="3" fontId="5" fillId="0" borderId="2" xfId="3" applyNumberFormat="1" applyFont="1" applyBorder="1" applyAlignment="1">
      <alignment horizontal="right"/>
    </xf>
    <xf numFmtId="3" fontId="6" fillId="0" borderId="0" xfId="0" applyNumberFormat="1" applyFont="1" applyAlignment="1">
      <alignment horizontal="right"/>
    </xf>
    <xf numFmtId="3" fontId="5" fillId="0" borderId="4" xfId="3" applyNumberFormat="1" applyFont="1" applyBorder="1" applyAlignment="1">
      <alignment horizontal="right"/>
    </xf>
    <xf numFmtId="3" fontId="6" fillId="0" borderId="14" xfId="3" applyNumberFormat="1" applyFont="1" applyBorder="1" applyAlignment="1">
      <alignment horizontal="right"/>
    </xf>
    <xf numFmtId="3" fontId="6" fillId="0" borderId="0" xfId="3" applyNumberFormat="1" applyFont="1" applyAlignment="1">
      <alignment horizontal="right"/>
    </xf>
    <xf numFmtId="3" fontId="5" fillId="0" borderId="2" xfId="0" applyNumberFormat="1" applyFont="1" applyBorder="1" applyAlignment="1">
      <alignment horizontal="right"/>
    </xf>
    <xf numFmtId="3" fontId="5" fillId="3" borderId="0" xfId="3" applyNumberFormat="1" applyFont="1" applyFill="1" applyAlignment="1">
      <alignment horizontal="right"/>
    </xf>
    <xf numFmtId="3" fontId="5" fillId="3" borderId="2" xfId="3" applyNumberFormat="1" applyFont="1" applyFill="1" applyBorder="1" applyAlignment="1">
      <alignment horizontal="right"/>
    </xf>
    <xf numFmtId="169" fontId="4" fillId="0" borderId="0" xfId="2" applyNumberFormat="1" applyFont="1" applyFill="1" applyBorder="1"/>
    <xf numFmtId="0" fontId="0" fillId="5" borderId="17" xfId="0" applyFill="1" applyBorder="1"/>
    <xf numFmtId="169" fontId="5" fillId="0" borderId="22" xfId="2" applyNumberFormat="1" applyFont="1" applyBorder="1"/>
    <xf numFmtId="169" fontId="5" fillId="0" borderId="23" xfId="2" applyNumberFormat="1" applyFont="1" applyBorder="1"/>
    <xf numFmtId="1" fontId="5" fillId="4" borderId="23" xfId="2" applyNumberFormat="1" applyFont="1" applyFill="1" applyBorder="1" applyAlignment="1">
      <alignment horizontal="center"/>
    </xf>
    <xf numFmtId="169" fontId="5" fillId="0" borderId="22" xfId="2" applyNumberFormat="1" applyFont="1" applyFill="1" applyBorder="1"/>
    <xf numFmtId="169" fontId="5" fillId="0" borderId="24" xfId="2" applyNumberFormat="1" applyFont="1" applyFill="1" applyBorder="1"/>
    <xf numFmtId="169" fontId="5" fillId="0" borderId="25" xfId="2" applyNumberFormat="1" applyFont="1" applyFill="1" applyBorder="1"/>
    <xf numFmtId="0" fontId="8" fillId="0" borderId="22" xfId="0" applyFont="1" applyBorder="1"/>
    <xf numFmtId="169" fontId="5" fillId="0" borderId="25" xfId="2" applyNumberFormat="1" applyFont="1" applyBorder="1"/>
    <xf numFmtId="1" fontId="5" fillId="0" borderId="22" xfId="2" applyNumberFormat="1" applyFont="1" applyFill="1" applyBorder="1" applyAlignment="1">
      <alignment horizontal="center"/>
    </xf>
    <xf numFmtId="169" fontId="5" fillId="0" borderId="24" xfId="2" applyNumberFormat="1" applyFont="1" applyBorder="1"/>
    <xf numFmtId="3" fontId="5" fillId="0" borderId="0" xfId="0" applyNumberFormat="1" applyFont="1" applyAlignment="1">
      <alignment horizontal="left"/>
    </xf>
    <xf numFmtId="0" fontId="6" fillId="0" borderId="0" xfId="0" applyFont="1" applyAlignment="1">
      <alignment horizontal="left"/>
    </xf>
    <xf numFmtId="169" fontId="5" fillId="0" borderId="0" xfId="0" applyNumberFormat="1" applyFont="1"/>
    <xf numFmtId="168" fontId="5" fillId="0" borderId="2" xfId="4" applyNumberFormat="1" applyFont="1" applyBorder="1"/>
    <xf numFmtId="1" fontId="5" fillId="4" borderId="26" xfId="2" applyNumberFormat="1" applyFont="1" applyFill="1" applyBorder="1" applyAlignment="1">
      <alignment horizontal="center"/>
    </xf>
    <xf numFmtId="0" fontId="5" fillId="0" borderId="13" xfId="0" applyFont="1" applyBorder="1"/>
    <xf numFmtId="169" fontId="4" fillId="5" borderId="0" xfId="2" applyNumberFormat="1" applyFont="1" applyFill="1" applyBorder="1"/>
    <xf numFmtId="169" fontId="4" fillId="5" borderId="29" xfId="2" applyNumberFormat="1" applyFont="1" applyFill="1" applyBorder="1"/>
    <xf numFmtId="166" fontId="6" fillId="0" borderId="0" xfId="2" applyNumberFormat="1" applyFont="1" applyFill="1" applyBorder="1"/>
    <xf numFmtId="169" fontId="6" fillId="0" borderId="6" xfId="2" applyNumberFormat="1" applyFont="1" applyFill="1" applyBorder="1"/>
    <xf numFmtId="169" fontId="6" fillId="0" borderId="0" xfId="2" applyNumberFormat="1" applyFont="1" applyFill="1" applyBorder="1"/>
    <xf numFmtId="1" fontId="5" fillId="0" borderId="4" xfId="2" applyNumberFormat="1" applyFont="1" applyFill="1" applyBorder="1" applyAlignment="1">
      <alignment horizontal="center"/>
    </xf>
    <xf numFmtId="1" fontId="5" fillId="0" borderId="9" xfId="2" applyNumberFormat="1" applyFont="1" applyFill="1" applyBorder="1" applyAlignment="1">
      <alignment horizontal="center"/>
    </xf>
    <xf numFmtId="165" fontId="6" fillId="0" borderId="0" xfId="1" applyNumberFormat="1" applyFont="1" applyFill="1" applyBorder="1"/>
    <xf numFmtId="165" fontId="6" fillId="0" borderId="6" xfId="1" applyNumberFormat="1" applyFont="1" applyFill="1" applyBorder="1"/>
    <xf numFmtId="3" fontId="6" fillId="0" borderId="0" xfId="3" applyNumberFormat="1" applyFont="1" applyAlignment="1">
      <alignment horizontal="left"/>
    </xf>
    <xf numFmtId="166" fontId="2" fillId="0" borderId="0" xfId="1" applyNumberFormat="1" applyFont="1" applyBorder="1" applyAlignment="1">
      <alignment horizontal="center"/>
    </xf>
    <xf numFmtId="166" fontId="2" fillId="0" borderId="6" xfId="1" applyNumberFormat="1" applyFont="1" applyBorder="1" applyAlignment="1">
      <alignment horizontal="center"/>
    </xf>
    <xf numFmtId="0" fontId="4" fillId="5" borderId="0" xfId="0" applyFont="1" applyFill="1" applyAlignment="1">
      <alignment horizontal="right"/>
    </xf>
    <xf numFmtId="169" fontId="4" fillId="5" borderId="0" xfId="0" applyNumberFormat="1" applyFont="1" applyFill="1"/>
    <xf numFmtId="0" fontId="4" fillId="5" borderId="1" xfId="0" applyFont="1" applyFill="1" applyBorder="1" applyAlignment="1">
      <alignment horizontal="right"/>
    </xf>
    <xf numFmtId="169" fontId="4" fillId="5" borderId="1" xfId="0" applyNumberFormat="1" applyFont="1" applyFill="1" applyBorder="1"/>
    <xf numFmtId="169" fontId="4" fillId="5" borderId="1" xfId="2" applyNumberFormat="1" applyFont="1" applyFill="1" applyBorder="1"/>
    <xf numFmtId="0" fontId="4" fillId="5" borderId="19" xfId="0" applyFont="1" applyFill="1" applyBorder="1"/>
    <xf numFmtId="0" fontId="4" fillId="5" borderId="13" xfId="0" applyFont="1" applyFill="1" applyBorder="1" applyAlignment="1">
      <alignment horizontal="right"/>
    </xf>
    <xf numFmtId="169" fontId="4" fillId="5" borderId="13" xfId="0" applyNumberFormat="1" applyFont="1" applyFill="1" applyBorder="1"/>
    <xf numFmtId="169" fontId="4" fillId="5" borderId="13" xfId="2" applyNumberFormat="1" applyFont="1" applyFill="1" applyBorder="1"/>
    <xf numFmtId="49" fontId="11" fillId="0" borderId="0" xfId="0" applyNumberFormat="1" applyFont="1" applyAlignment="1">
      <alignment horizontal="left"/>
    </xf>
    <xf numFmtId="2" fontId="5" fillId="0" borderId="0" xfId="0" applyNumberFormat="1" applyFont="1"/>
    <xf numFmtId="166" fontId="4" fillId="0" borderId="0" xfId="1" applyNumberFormat="1" applyFont="1" applyFill="1" applyBorder="1" applyAlignment="1">
      <alignment horizontal="center"/>
    </xf>
    <xf numFmtId="166" fontId="4" fillId="0" borderId="6" xfId="1" applyNumberFormat="1" applyFont="1" applyFill="1" applyBorder="1" applyAlignment="1">
      <alignment horizontal="center"/>
    </xf>
    <xf numFmtId="166" fontId="4" fillId="0" borderId="2" xfId="1" applyNumberFormat="1" applyFont="1" applyFill="1" applyBorder="1" applyAlignment="1">
      <alignment horizontal="center"/>
    </xf>
    <xf numFmtId="166" fontId="4" fillId="0" borderId="8" xfId="1" applyNumberFormat="1" applyFont="1" applyFill="1" applyBorder="1" applyAlignment="1">
      <alignment horizontal="center"/>
    </xf>
    <xf numFmtId="166" fontId="4" fillId="0" borderId="1" xfId="1" applyNumberFormat="1" applyFont="1" applyBorder="1" applyAlignment="1">
      <alignment horizontal="center"/>
    </xf>
    <xf numFmtId="166" fontId="4" fillId="0" borderId="7" xfId="1" applyNumberFormat="1" applyFont="1" applyBorder="1" applyAlignment="1">
      <alignment horizontal="center"/>
    </xf>
    <xf numFmtId="168" fontId="5" fillId="0" borderId="8" xfId="4" applyNumberFormat="1" applyFont="1" applyFill="1" applyBorder="1"/>
    <xf numFmtId="0" fontId="6" fillId="0" borderId="0" xfId="0" quotePrefix="1" applyFont="1"/>
    <xf numFmtId="166" fontId="6" fillId="0" borderId="0" xfId="1" applyNumberFormat="1" applyFont="1" applyFill="1" applyBorder="1"/>
    <xf numFmtId="166" fontId="6" fillId="0" borderId="6" xfId="1" applyNumberFormat="1" applyFont="1" applyFill="1" applyBorder="1"/>
    <xf numFmtId="169" fontId="4" fillId="0" borderId="9" xfId="0" applyNumberFormat="1" applyFont="1" applyBorder="1"/>
    <xf numFmtId="168" fontId="0" fillId="0" borderId="0" xfId="4" applyNumberFormat="1" applyFont="1"/>
    <xf numFmtId="167" fontId="5" fillId="0" borderId="0" xfId="0" applyNumberFormat="1" applyFont="1"/>
    <xf numFmtId="169" fontId="5" fillId="0" borderId="0" xfId="2" applyNumberFormat="1" applyFont="1" applyFill="1" applyBorder="1" applyAlignment="1">
      <alignment horizontal="right"/>
    </xf>
    <xf numFmtId="44" fontId="5" fillId="0" borderId="3" xfId="2" applyFont="1" applyFill="1" applyBorder="1" applyAlignment="1">
      <alignment horizontal="right"/>
    </xf>
    <xf numFmtId="0" fontId="12" fillId="0" borderId="0" xfId="0" applyFont="1"/>
    <xf numFmtId="168" fontId="8" fillId="0" borderId="0" xfId="4" applyNumberFormat="1" applyFont="1" applyFill="1" applyBorder="1"/>
    <xf numFmtId="169" fontId="5" fillId="0" borderId="1" xfId="2" applyNumberFormat="1" applyFont="1" applyFill="1" applyBorder="1"/>
    <xf numFmtId="49" fontId="6" fillId="0" borderId="0" xfId="2" applyNumberFormat="1" applyFont="1" applyBorder="1"/>
    <xf numFmtId="49" fontId="6" fillId="0" borderId="4" xfId="2" applyNumberFormat="1" applyFont="1" applyBorder="1"/>
    <xf numFmtId="14" fontId="5" fillId="0" borderId="0" xfId="0" applyNumberFormat="1" applyFont="1"/>
    <xf numFmtId="169" fontId="4" fillId="0" borderId="6" xfId="2" applyNumberFormat="1" applyFont="1" applyFill="1" applyBorder="1"/>
    <xf numFmtId="169" fontId="0" fillId="0" borderId="0" xfId="0" applyNumberFormat="1"/>
    <xf numFmtId="3" fontId="5" fillId="0" borderId="0" xfId="1" applyNumberFormat="1" applyFont="1" applyFill="1" applyBorder="1"/>
    <xf numFmtId="3" fontId="6" fillId="0" borderId="0" xfId="1" applyNumberFormat="1" applyFont="1" applyFill="1" applyBorder="1"/>
    <xf numFmtId="44" fontId="5" fillId="0" borderId="6" xfId="2" applyFont="1" applyFill="1" applyBorder="1"/>
    <xf numFmtId="3" fontId="5" fillId="0" borderId="0" xfId="1" applyNumberFormat="1" applyFont="1" applyFill="1" applyBorder="1" applyAlignment="1">
      <alignment horizontal="center"/>
    </xf>
    <xf numFmtId="42" fontId="5" fillId="0" borderId="6" xfId="2" applyNumberFormat="1" applyFont="1" applyFill="1" applyBorder="1"/>
    <xf numFmtId="42" fontId="5" fillId="0" borderId="0" xfId="2" applyNumberFormat="1" applyFont="1" applyFill="1" applyBorder="1"/>
    <xf numFmtId="3" fontId="5" fillId="0" borderId="2" xfId="1" applyNumberFormat="1" applyFont="1" applyFill="1" applyBorder="1" applyAlignment="1">
      <alignment horizontal="center"/>
    </xf>
    <xf numFmtId="166" fontId="5" fillId="0" borderId="2" xfId="1" applyNumberFormat="1" applyFont="1" applyFill="1" applyBorder="1" applyAlignment="1">
      <alignment horizontal="center"/>
    </xf>
    <xf numFmtId="44" fontId="5" fillId="0" borderId="2" xfId="2" applyFont="1" applyFill="1" applyBorder="1"/>
    <xf numFmtId="42" fontId="5" fillId="0" borderId="8" xfId="2" applyNumberFormat="1" applyFont="1" applyFill="1" applyBorder="1"/>
    <xf numFmtId="42" fontId="5" fillId="0" borderId="2" xfId="2" applyNumberFormat="1" applyFont="1" applyFill="1" applyBorder="1"/>
    <xf numFmtId="166" fontId="5" fillId="0" borderId="0" xfId="1" applyNumberFormat="1" applyFont="1" applyBorder="1" applyAlignment="1">
      <alignment horizontal="right"/>
    </xf>
    <xf numFmtId="9" fontId="4" fillId="0" borderId="6" xfId="4" applyFont="1" applyFill="1" applyBorder="1"/>
    <xf numFmtId="169" fontId="4" fillId="0" borderId="4" xfId="2" applyNumberFormat="1" applyFont="1" applyFill="1" applyBorder="1"/>
    <xf numFmtId="2" fontId="5" fillId="0" borderId="6" xfId="2" applyNumberFormat="1" applyFont="1" applyBorder="1"/>
    <xf numFmtId="0" fontId="4" fillId="5" borderId="20" xfId="0" applyFont="1" applyFill="1" applyBorder="1"/>
    <xf numFmtId="0" fontId="4" fillId="5" borderId="21" xfId="0" applyFont="1" applyFill="1" applyBorder="1"/>
    <xf numFmtId="166" fontId="5" fillId="0" borderId="35" xfId="1" applyNumberFormat="1" applyFont="1" applyFill="1" applyBorder="1"/>
    <xf numFmtId="168" fontId="5" fillId="3" borderId="22" xfId="4" applyNumberFormat="1" applyFont="1" applyFill="1" applyBorder="1" applyAlignment="1">
      <alignment horizontal="right"/>
    </xf>
    <xf numFmtId="168" fontId="5" fillId="0" borderId="22" xfId="4" applyNumberFormat="1" applyFont="1" applyFill="1" applyBorder="1" applyAlignment="1">
      <alignment horizontal="right"/>
    </xf>
    <xf numFmtId="168" fontId="5" fillId="0" borderId="22" xfId="4" applyNumberFormat="1" applyFont="1" applyFill="1" applyBorder="1"/>
    <xf numFmtId="168" fontId="5" fillId="3" borderId="22" xfId="4" applyNumberFormat="1" applyFont="1" applyFill="1" applyBorder="1"/>
    <xf numFmtId="169" fontId="5" fillId="8" borderId="6" xfId="2" applyNumberFormat="1" applyFont="1" applyFill="1" applyBorder="1"/>
    <xf numFmtId="169" fontId="5" fillId="8" borderId="0" xfId="2" applyNumberFormat="1" applyFont="1" applyFill="1" applyBorder="1"/>
    <xf numFmtId="42" fontId="5" fillId="0" borderId="6" xfId="4" applyNumberFormat="1" applyFont="1" applyBorder="1"/>
    <xf numFmtId="42" fontId="5" fillId="0" borderId="0" xfId="4" applyNumberFormat="1" applyFont="1" applyBorder="1"/>
    <xf numFmtId="169" fontId="5" fillId="0" borderId="34" xfId="2" applyNumberFormat="1" applyFont="1" applyFill="1" applyBorder="1"/>
    <xf numFmtId="169" fontId="5" fillId="0" borderId="35" xfId="2" applyNumberFormat="1" applyFont="1" applyFill="1" applyBorder="1"/>
    <xf numFmtId="169" fontId="12" fillId="0" borderId="0" xfId="2" applyNumberFormat="1" applyFont="1" applyBorder="1"/>
    <xf numFmtId="169" fontId="5" fillId="0" borderId="13" xfId="2" applyNumberFormat="1" applyFont="1" applyFill="1" applyBorder="1"/>
    <xf numFmtId="169" fontId="4" fillId="5" borderId="42" xfId="2" applyNumberFormat="1" applyFont="1" applyFill="1" applyBorder="1"/>
    <xf numFmtId="169" fontId="4" fillId="5" borderId="28" xfId="2" applyNumberFormat="1" applyFont="1" applyFill="1" applyBorder="1"/>
    <xf numFmtId="169" fontId="5" fillId="0" borderId="1" xfId="0" applyNumberFormat="1" applyFont="1" applyBorder="1" applyAlignment="1">
      <alignment horizontal="center"/>
    </xf>
    <xf numFmtId="0" fontId="5" fillId="0" borderId="13" xfId="0" applyFont="1" applyBorder="1" applyAlignment="1">
      <alignment horizontal="center"/>
    </xf>
    <xf numFmtId="169" fontId="5" fillId="0" borderId="18" xfId="2" applyNumberFormat="1" applyFont="1" applyBorder="1"/>
    <xf numFmtId="169" fontId="5" fillId="0" borderId="13" xfId="2" applyNumberFormat="1" applyFont="1" applyBorder="1"/>
    <xf numFmtId="170" fontId="5" fillId="3" borderId="28" xfId="0" applyNumberFormat="1" applyFont="1" applyFill="1" applyBorder="1"/>
    <xf numFmtId="0" fontId="5" fillId="3" borderId="28" xfId="0" applyFont="1" applyFill="1" applyBorder="1"/>
    <xf numFmtId="168" fontId="5" fillId="3" borderId="28" xfId="4" applyNumberFormat="1" applyFont="1" applyFill="1" applyBorder="1"/>
    <xf numFmtId="1" fontId="5" fillId="3" borderId="29" xfId="0" applyNumberFormat="1" applyFont="1" applyFill="1" applyBorder="1"/>
    <xf numFmtId="169" fontId="5" fillId="0" borderId="13" xfId="2" applyNumberFormat="1" applyFont="1" applyFill="1" applyBorder="1" applyAlignment="1">
      <alignment horizontal="center"/>
    </xf>
    <xf numFmtId="0" fontId="4" fillId="0" borderId="13" xfId="0" applyFont="1" applyBorder="1"/>
    <xf numFmtId="37" fontId="5" fillId="0" borderId="13" xfId="3" applyFont="1" applyBorder="1"/>
    <xf numFmtId="10" fontId="5" fillId="3" borderId="13" xfId="4" applyNumberFormat="1" applyFont="1" applyFill="1" applyBorder="1"/>
    <xf numFmtId="0" fontId="1" fillId="0" borderId="0" xfId="0" applyFont="1"/>
    <xf numFmtId="37" fontId="5" fillId="0" borderId="0" xfId="1" applyNumberFormat="1" applyFont="1" applyFill="1" applyBorder="1"/>
    <xf numFmtId="38" fontId="5" fillId="0" borderId="0" xfId="2" applyNumberFormat="1" applyFont="1" applyBorder="1"/>
    <xf numFmtId="38" fontId="5" fillId="0" borderId="6" xfId="2" applyNumberFormat="1" applyFont="1" applyBorder="1"/>
    <xf numFmtId="0" fontId="7" fillId="4" borderId="5" xfId="0" applyFont="1" applyFill="1" applyBorder="1" applyAlignment="1">
      <alignment horizontal="center"/>
    </xf>
    <xf numFmtId="0" fontId="7" fillId="0" borderId="0" xfId="0" applyFont="1"/>
    <xf numFmtId="0" fontId="15" fillId="0" borderId="0" xfId="0" applyFont="1"/>
    <xf numFmtId="0" fontId="7" fillId="0" borderId="1" xfId="0" applyFont="1" applyBorder="1"/>
    <xf numFmtId="0" fontId="14" fillId="4" borderId="19" xfId="0" applyFont="1" applyFill="1" applyBorder="1"/>
    <xf numFmtId="0" fontId="14" fillId="4" borderId="13" xfId="0" applyFont="1" applyFill="1" applyBorder="1"/>
    <xf numFmtId="0" fontId="14" fillId="4" borderId="13" xfId="0" applyFont="1" applyFill="1" applyBorder="1" applyAlignment="1">
      <alignment horizontal="center"/>
    </xf>
    <xf numFmtId="0" fontId="14" fillId="4" borderId="20" xfId="0" applyFont="1" applyFill="1" applyBorder="1" applyAlignment="1">
      <alignment horizontal="center"/>
    </xf>
    <xf numFmtId="0" fontId="14" fillId="4" borderId="0" xfId="0" applyFont="1" applyFill="1" applyAlignment="1">
      <alignment horizontal="center"/>
    </xf>
    <xf numFmtId="0" fontId="7" fillId="4" borderId="0" xfId="0" applyFont="1" applyFill="1"/>
    <xf numFmtId="169" fontId="14" fillId="4" borderId="0" xfId="2" applyNumberFormat="1" applyFont="1" applyFill="1" applyBorder="1" applyAlignment="1">
      <alignment horizontal="center"/>
    </xf>
    <xf numFmtId="0" fontId="7" fillId="4" borderId="37" xfId="0" applyFont="1" applyFill="1" applyBorder="1" applyAlignment="1">
      <alignment horizontal="center"/>
    </xf>
    <xf numFmtId="0" fontId="7" fillId="4" borderId="15" xfId="0" applyFont="1" applyFill="1" applyBorder="1" applyAlignment="1">
      <alignment horizontal="center"/>
    </xf>
    <xf numFmtId="0" fontId="7" fillId="4" borderId="36" xfId="0" applyFont="1" applyFill="1" applyBorder="1" applyAlignment="1">
      <alignment horizontal="center"/>
    </xf>
    <xf numFmtId="0" fontId="14" fillId="4" borderId="33" xfId="0" applyFont="1" applyFill="1" applyBorder="1" applyAlignment="1">
      <alignment horizontal="center"/>
    </xf>
    <xf numFmtId="0" fontId="14" fillId="4" borderId="2" xfId="0" applyFont="1" applyFill="1" applyBorder="1" applyAlignment="1">
      <alignment horizontal="center"/>
    </xf>
    <xf numFmtId="169" fontId="14" fillId="4" borderId="2" xfId="2" applyNumberFormat="1" applyFont="1" applyFill="1" applyBorder="1" applyAlignment="1">
      <alignment horizontal="center"/>
    </xf>
    <xf numFmtId="1" fontId="16" fillId="10" borderId="5" xfId="0" applyNumberFormat="1" applyFont="1" applyFill="1" applyBorder="1" applyAlignment="1">
      <alignment horizontal="center"/>
    </xf>
    <xf numFmtId="0" fontId="16" fillId="10" borderId="5" xfId="0" applyFont="1" applyFill="1" applyBorder="1" applyAlignment="1">
      <alignment horizontal="center"/>
    </xf>
    <xf numFmtId="0" fontId="16" fillId="10" borderId="2" xfId="0" applyFont="1" applyFill="1" applyBorder="1" applyAlignment="1">
      <alignment horizontal="center"/>
    </xf>
    <xf numFmtId="0" fontId="7" fillId="4" borderId="39" xfId="0" applyFont="1" applyFill="1" applyBorder="1" applyAlignment="1">
      <alignment horizontal="center"/>
    </xf>
    <xf numFmtId="0" fontId="7" fillId="4" borderId="31" xfId="0" applyFont="1" applyFill="1" applyBorder="1" applyAlignment="1">
      <alignment horizontal="center"/>
    </xf>
    <xf numFmtId="49" fontId="7" fillId="3" borderId="39" xfId="0" applyNumberFormat="1" applyFont="1" applyFill="1" applyBorder="1" applyAlignment="1">
      <alignment horizontal="center"/>
    </xf>
    <xf numFmtId="49" fontId="7" fillId="3" borderId="5" xfId="0" applyNumberFormat="1" applyFont="1" applyFill="1" applyBorder="1"/>
    <xf numFmtId="49" fontId="7" fillId="3" borderId="2" xfId="0" applyNumberFormat="1" applyFont="1" applyFill="1" applyBorder="1"/>
    <xf numFmtId="0" fontId="7" fillId="3" borderId="2" xfId="0" applyFont="1" applyFill="1" applyBorder="1"/>
    <xf numFmtId="169" fontId="7" fillId="3" borderId="2" xfId="2" applyNumberFormat="1" applyFont="1" applyFill="1" applyBorder="1"/>
    <xf numFmtId="169" fontId="7" fillId="3" borderId="2" xfId="2" applyNumberFormat="1" applyFont="1" applyFill="1" applyBorder="1" applyAlignment="1">
      <alignment horizontal="center"/>
    </xf>
    <xf numFmtId="169" fontId="7" fillId="9" borderId="11" xfId="2" applyNumberFormat="1" applyFont="1" applyFill="1" applyBorder="1"/>
    <xf numFmtId="169" fontId="15" fillId="3" borderId="45" xfId="2" applyNumberFormat="1" applyFont="1" applyFill="1" applyBorder="1"/>
    <xf numFmtId="0" fontId="7" fillId="0" borderId="39" xfId="0" applyFont="1" applyBorder="1"/>
    <xf numFmtId="0" fontId="7" fillId="0" borderId="5" xfId="0" applyFont="1" applyBorder="1"/>
    <xf numFmtId="0" fontId="7" fillId="0" borderId="12" xfId="0" applyFont="1" applyBorder="1"/>
    <xf numFmtId="0" fontId="7" fillId="0" borderId="38" xfId="0" applyFont="1" applyBorder="1"/>
    <xf numFmtId="0" fontId="7" fillId="0" borderId="31" xfId="0" applyFont="1" applyBorder="1"/>
    <xf numFmtId="49" fontId="7" fillId="3" borderId="33" xfId="0" applyNumberFormat="1" applyFont="1" applyFill="1" applyBorder="1" applyAlignment="1">
      <alignment horizontal="center"/>
    </xf>
    <xf numFmtId="0" fontId="7" fillId="3" borderId="5" xfId="0" applyFont="1" applyFill="1" applyBorder="1"/>
    <xf numFmtId="169" fontId="15" fillId="3" borderId="46" xfId="2" applyNumberFormat="1" applyFont="1" applyFill="1" applyBorder="1"/>
    <xf numFmtId="169" fontId="14" fillId="9" borderId="11" xfId="2" applyNumberFormat="1" applyFont="1" applyFill="1" applyBorder="1"/>
    <xf numFmtId="169" fontId="16" fillId="3" borderId="46" xfId="2" applyNumberFormat="1" applyFont="1" applyFill="1" applyBorder="1"/>
    <xf numFmtId="0" fontId="14" fillId="10" borderId="5" xfId="0" applyFont="1" applyFill="1" applyBorder="1" applyAlignment="1">
      <alignment horizontal="center"/>
    </xf>
    <xf numFmtId="49" fontId="7" fillId="9" borderId="5" xfId="0" applyNumberFormat="1" applyFont="1" applyFill="1" applyBorder="1"/>
    <xf numFmtId="169" fontId="7" fillId="3" borderId="5" xfId="2" applyNumberFormat="1" applyFont="1" applyFill="1" applyBorder="1" applyAlignment="1">
      <alignment horizontal="center"/>
    </xf>
    <xf numFmtId="49" fontId="7" fillId="3" borderId="47" xfId="0" applyNumberFormat="1" applyFont="1" applyFill="1" applyBorder="1" applyAlignment="1">
      <alignment horizontal="center"/>
    </xf>
    <xf numFmtId="49" fontId="7" fillId="3" borderId="44" xfId="0" applyNumberFormat="1" applyFont="1" applyFill="1" applyBorder="1"/>
    <xf numFmtId="0" fontId="7" fillId="3" borderId="44" xfId="0" applyFont="1" applyFill="1" applyBorder="1"/>
    <xf numFmtId="169" fontId="7" fillId="3" borderId="44" xfId="2" applyNumberFormat="1" applyFont="1" applyFill="1" applyBorder="1"/>
    <xf numFmtId="169" fontId="7" fillId="3" borderId="44" xfId="2" applyNumberFormat="1" applyFont="1" applyFill="1" applyBorder="1" applyAlignment="1">
      <alignment horizontal="center"/>
    </xf>
    <xf numFmtId="169" fontId="7" fillId="9" borderId="48" xfId="2" applyNumberFormat="1" applyFont="1" applyFill="1" applyBorder="1"/>
    <xf numFmtId="169" fontId="15" fillId="3" borderId="49" xfId="2" applyNumberFormat="1" applyFont="1" applyFill="1" applyBorder="1"/>
    <xf numFmtId="0" fontId="7" fillId="0" borderId="47" xfId="0" applyFont="1" applyBorder="1"/>
    <xf numFmtId="0" fontId="7" fillId="0" borderId="44" xfId="0" applyFont="1" applyBorder="1"/>
    <xf numFmtId="0" fontId="7" fillId="0" borderId="50" xfId="0" applyFont="1" applyBorder="1"/>
    <xf numFmtId="0" fontId="7" fillId="0" borderId="51" xfId="0" applyFont="1" applyBorder="1"/>
    <xf numFmtId="0" fontId="7" fillId="0" borderId="52" xfId="0" applyFont="1" applyBorder="1"/>
    <xf numFmtId="49" fontId="7" fillId="0" borderId="0" xfId="0" applyNumberFormat="1" applyFont="1"/>
    <xf numFmtId="169" fontId="7" fillId="0" borderId="0" xfId="2" applyNumberFormat="1" applyFont="1" applyFill="1" applyBorder="1"/>
    <xf numFmtId="169" fontId="7" fillId="0" borderId="0" xfId="2" applyNumberFormat="1" applyFont="1" applyFill="1" applyBorder="1" applyAlignment="1">
      <alignment horizontal="center"/>
    </xf>
    <xf numFmtId="169" fontId="6" fillId="0" borderId="13" xfId="2" applyNumberFormat="1" applyFont="1" applyBorder="1"/>
    <xf numFmtId="169" fontId="15" fillId="0" borderId="0" xfId="2" applyNumberFormat="1" applyFont="1" applyFill="1" applyBorder="1"/>
    <xf numFmtId="49" fontId="5" fillId="6" borderId="19" xfId="0" applyNumberFormat="1" applyFont="1" applyFill="1" applyBorder="1" applyAlignment="1">
      <alignment horizontal="center"/>
    </xf>
    <xf numFmtId="49" fontId="5" fillId="6" borderId="33" xfId="0" applyNumberFormat="1" applyFont="1" applyFill="1" applyBorder="1" applyAlignment="1">
      <alignment horizontal="center"/>
    </xf>
    <xf numFmtId="0" fontId="5" fillId="6" borderId="33" xfId="0" applyFont="1" applyFill="1" applyBorder="1" applyAlignment="1">
      <alignment horizontal="center"/>
    </xf>
    <xf numFmtId="0" fontId="5" fillId="6" borderId="20" xfId="0" applyFont="1" applyFill="1" applyBorder="1" applyAlignment="1">
      <alignment horizontal="right"/>
    </xf>
    <xf numFmtId="170" fontId="5" fillId="3" borderId="20" xfId="0" applyNumberFormat="1" applyFont="1" applyFill="1" applyBorder="1"/>
    <xf numFmtId="0" fontId="5" fillId="3" borderId="20" xfId="0" applyFont="1" applyFill="1" applyBorder="1"/>
    <xf numFmtId="168" fontId="5" fillId="6" borderId="20" xfId="0" applyNumberFormat="1" applyFont="1" applyFill="1" applyBorder="1" applyAlignment="1">
      <alignment horizontal="right"/>
    </xf>
    <xf numFmtId="168" fontId="5" fillId="3" borderId="20" xfId="4" applyNumberFormat="1" applyFont="1" applyFill="1" applyBorder="1"/>
    <xf numFmtId="0" fontId="5" fillId="6" borderId="21" xfId="0" applyFont="1" applyFill="1" applyBorder="1" applyAlignment="1">
      <alignment horizontal="right"/>
    </xf>
    <xf numFmtId="1" fontId="5" fillId="3" borderId="21" xfId="0" applyNumberFormat="1" applyFont="1" applyFill="1" applyBorder="1"/>
    <xf numFmtId="168" fontId="5" fillId="8" borderId="0" xfId="2" applyNumberFormat="1" applyFont="1" applyFill="1" applyBorder="1"/>
    <xf numFmtId="0" fontId="17" fillId="11" borderId="19" xfId="14" applyFont="1" applyFill="1" applyBorder="1"/>
    <xf numFmtId="0" fontId="17" fillId="11" borderId="13" xfId="14" applyFont="1" applyFill="1" applyBorder="1"/>
    <xf numFmtId="0" fontId="17" fillId="11" borderId="42" xfId="14" applyFont="1" applyFill="1" applyBorder="1"/>
    <xf numFmtId="0" fontId="17" fillId="11" borderId="20" xfId="14" applyFont="1" applyFill="1" applyBorder="1"/>
    <xf numFmtId="0" fontId="17" fillId="11" borderId="0" xfId="14" applyFont="1" applyFill="1"/>
    <xf numFmtId="0" fontId="17" fillId="11" borderId="28" xfId="14" applyFont="1" applyFill="1" applyBorder="1"/>
    <xf numFmtId="0" fontId="0" fillId="11" borderId="21" xfId="0" applyFill="1" applyBorder="1"/>
    <xf numFmtId="0" fontId="0" fillId="11" borderId="1" xfId="0" applyFill="1" applyBorder="1"/>
    <xf numFmtId="0" fontId="0" fillId="11" borderId="29" xfId="0" applyFill="1" applyBorder="1"/>
    <xf numFmtId="0" fontId="17" fillId="11" borderId="19" xfId="0" applyFont="1" applyFill="1" applyBorder="1"/>
    <xf numFmtId="0" fontId="17" fillId="11" borderId="13" xfId="0" applyFont="1" applyFill="1" applyBorder="1"/>
    <xf numFmtId="0" fontId="17" fillId="11" borderId="42" xfId="0" applyFont="1" applyFill="1" applyBorder="1"/>
    <xf numFmtId="0" fontId="17" fillId="11" borderId="20" xfId="0" applyFont="1" applyFill="1" applyBorder="1"/>
    <xf numFmtId="0" fontId="17" fillId="11" borderId="0" xfId="0" applyFont="1" applyFill="1"/>
    <xf numFmtId="0" fontId="17" fillId="11" borderId="28" xfId="0" applyFont="1" applyFill="1" applyBorder="1"/>
    <xf numFmtId="0" fontId="17" fillId="11" borderId="21" xfId="0" applyFont="1" applyFill="1" applyBorder="1"/>
    <xf numFmtId="0" fontId="17" fillId="11" borderId="1" xfId="0" applyFont="1" applyFill="1" applyBorder="1"/>
    <xf numFmtId="0" fontId="17" fillId="11" borderId="29" xfId="0" applyFont="1" applyFill="1" applyBorder="1"/>
    <xf numFmtId="169" fontId="4" fillId="0" borderId="0" xfId="0" applyNumberFormat="1" applyFont="1"/>
    <xf numFmtId="0" fontId="17" fillId="12" borderId="19" xfId="0" applyFont="1" applyFill="1" applyBorder="1"/>
    <xf numFmtId="0" fontId="17" fillId="12" borderId="13" xfId="0" applyFont="1" applyFill="1" applyBorder="1"/>
    <xf numFmtId="0" fontId="17" fillId="12" borderId="42" xfId="0" applyFont="1" applyFill="1" applyBorder="1"/>
    <xf numFmtId="0" fontId="17" fillId="12" borderId="20" xfId="0" applyFont="1" applyFill="1" applyBorder="1"/>
    <xf numFmtId="0" fontId="17" fillId="12" borderId="0" xfId="0" applyFont="1" applyFill="1"/>
    <xf numFmtId="0" fontId="17" fillId="12" borderId="28" xfId="0" applyFont="1" applyFill="1" applyBorder="1"/>
    <xf numFmtId="0" fontId="17" fillId="12" borderId="21" xfId="0" applyFont="1" applyFill="1" applyBorder="1"/>
    <xf numFmtId="0" fontId="17" fillId="12" borderId="1" xfId="0" applyFont="1" applyFill="1" applyBorder="1"/>
    <xf numFmtId="0" fontId="17" fillId="12" borderId="29" xfId="0" applyFont="1" applyFill="1" applyBorder="1"/>
    <xf numFmtId="169" fontId="4" fillId="0" borderId="4" xfId="0" applyNumberFormat="1" applyFont="1" applyBorder="1"/>
    <xf numFmtId="169" fontId="7" fillId="9" borderId="2" xfId="2" applyNumberFormat="1" applyFont="1" applyFill="1" applyBorder="1" applyAlignment="1">
      <alignment horizontal="center"/>
    </xf>
    <xf numFmtId="0" fontId="17" fillId="11" borderId="19" xfId="5" applyFont="1" applyFill="1" applyBorder="1"/>
    <xf numFmtId="0" fontId="17" fillId="11" borderId="13" xfId="5" applyFont="1" applyFill="1" applyBorder="1"/>
    <xf numFmtId="0" fontId="17" fillId="11" borderId="42" xfId="5" applyFont="1" applyFill="1" applyBorder="1"/>
    <xf numFmtId="0" fontId="17" fillId="11" borderId="20" xfId="5" applyFont="1" applyFill="1" applyBorder="1"/>
    <xf numFmtId="0" fontId="17" fillId="11" borderId="0" xfId="5" applyFont="1" applyFill="1"/>
    <xf numFmtId="0" fontId="17" fillId="11" borderId="28" xfId="5" applyFont="1" applyFill="1" applyBorder="1"/>
    <xf numFmtId="0" fontId="17" fillId="11" borderId="21" xfId="5" applyFont="1" applyFill="1" applyBorder="1"/>
    <xf numFmtId="0" fontId="17" fillId="11" borderId="1" xfId="5" applyFont="1" applyFill="1" applyBorder="1"/>
    <xf numFmtId="0" fontId="17" fillId="11" borderId="29" xfId="5" applyFont="1" applyFill="1" applyBorder="1"/>
    <xf numFmtId="169" fontId="5" fillId="7" borderId="0" xfId="2" applyNumberFormat="1" applyFont="1" applyFill="1" applyBorder="1"/>
    <xf numFmtId="169" fontId="5" fillId="7" borderId="22" xfId="2" applyNumberFormat="1" applyFont="1" applyFill="1" applyBorder="1"/>
    <xf numFmtId="169" fontId="5" fillId="7" borderId="6" xfId="2" applyNumberFormat="1" applyFont="1" applyFill="1" applyBorder="1"/>
    <xf numFmtId="169" fontId="5" fillId="7" borderId="2" xfId="2" applyNumberFormat="1" applyFont="1" applyFill="1" applyBorder="1"/>
    <xf numFmtId="169" fontId="5" fillId="7" borderId="24" xfId="2" applyNumberFormat="1" applyFont="1" applyFill="1" applyBorder="1"/>
    <xf numFmtId="169" fontId="5" fillId="7" borderId="8" xfId="2" applyNumberFormat="1" applyFont="1" applyFill="1" applyBorder="1"/>
    <xf numFmtId="0" fontId="2" fillId="0" borderId="43" xfId="0" applyFont="1" applyBorder="1" applyAlignment="1">
      <alignment horizontal="center"/>
    </xf>
    <xf numFmtId="0" fontId="2" fillId="0" borderId="53" xfId="0" applyFont="1" applyBorder="1" applyAlignment="1">
      <alignment horizontal="center"/>
    </xf>
    <xf numFmtId="168" fontId="0" fillId="9" borderId="54" xfId="0" applyNumberFormat="1" applyFill="1" applyBorder="1" applyAlignment="1">
      <alignment horizontal="center"/>
    </xf>
    <xf numFmtId="168" fontId="0" fillId="9" borderId="55" xfId="0" applyNumberFormat="1" applyFill="1" applyBorder="1" applyAlignment="1">
      <alignment horizontal="center"/>
    </xf>
    <xf numFmtId="168" fontId="0" fillId="9" borderId="30" xfId="0" applyNumberFormat="1" applyFill="1" applyBorder="1" applyAlignment="1">
      <alignment horizontal="center"/>
    </xf>
    <xf numFmtId="168" fontId="0" fillId="9" borderId="40" xfId="0" applyNumberFormat="1" applyFill="1" applyBorder="1" applyAlignment="1">
      <alignment horizontal="center"/>
    </xf>
    <xf numFmtId="168" fontId="0" fillId="9" borderId="32" xfId="0" applyNumberFormat="1" applyFill="1" applyBorder="1" applyAlignment="1">
      <alignment horizontal="center"/>
    </xf>
    <xf numFmtId="168" fontId="0" fillId="9" borderId="41" xfId="0" applyNumberFormat="1" applyFill="1" applyBorder="1" applyAlignment="1">
      <alignment horizontal="center"/>
    </xf>
    <xf numFmtId="0" fontId="1" fillId="0" borderId="2" xfId="0" applyFont="1" applyBorder="1"/>
    <xf numFmtId="1" fontId="5" fillId="0" borderId="56" xfId="2" applyNumberFormat="1" applyFont="1" applyFill="1" applyBorder="1" applyAlignment="1">
      <alignment horizontal="center"/>
    </xf>
    <xf numFmtId="0" fontId="4" fillId="0" borderId="57" xfId="0" applyFont="1" applyBorder="1"/>
    <xf numFmtId="42" fontId="4" fillId="0" borderId="2" xfId="0" applyNumberFormat="1" applyFont="1" applyBorder="1"/>
    <xf numFmtId="42" fontId="4" fillId="0" borderId="4" xfId="0" applyNumberFormat="1" applyFont="1" applyBorder="1"/>
    <xf numFmtId="42" fontId="4" fillId="0" borderId="58" xfId="0" applyNumberFormat="1" applyFont="1" applyBorder="1"/>
    <xf numFmtId="0" fontId="2" fillId="0" borderId="0" xfId="0" applyFont="1" applyAlignment="1">
      <alignment horizontal="right"/>
    </xf>
    <xf numFmtId="42" fontId="2" fillId="0" borderId="0" xfId="0" applyNumberFormat="1" applyFont="1"/>
    <xf numFmtId="9" fontId="4" fillId="0" borderId="0" xfId="0" applyNumberFormat="1" applyFont="1"/>
    <xf numFmtId="9" fontId="4" fillId="13" borderId="0" xfId="0" applyNumberFormat="1" applyFont="1" applyFill="1"/>
    <xf numFmtId="1" fontId="5" fillId="4" borderId="15" xfId="2" applyNumberFormat="1" applyFont="1" applyFill="1" applyBorder="1" applyAlignment="1">
      <alignment horizontal="left"/>
    </xf>
    <xf numFmtId="0" fontId="2" fillId="0" borderId="1" xfId="0" applyFont="1" applyBorder="1" applyAlignment="1">
      <alignment horizontal="right"/>
    </xf>
    <xf numFmtId="42" fontId="2" fillId="0" borderId="1" xfId="0" applyNumberFormat="1" applyFont="1" applyBorder="1"/>
    <xf numFmtId="42" fontId="2" fillId="0" borderId="59" xfId="0" applyNumberFormat="1" applyFont="1" applyBorder="1"/>
    <xf numFmtId="168" fontId="4" fillId="0" borderId="0" xfId="4" applyNumberFormat="1" applyFont="1" applyFill="1"/>
    <xf numFmtId="0" fontId="1" fillId="5" borderId="18" xfId="0" applyFont="1" applyFill="1" applyBorder="1" applyAlignment="1">
      <alignment horizontal="right"/>
    </xf>
    <xf numFmtId="0" fontId="4" fillId="14" borderId="0" xfId="0" applyFont="1" applyFill="1"/>
    <xf numFmtId="0" fontId="18" fillId="0" borderId="0" xfId="0" applyFont="1"/>
    <xf numFmtId="0" fontId="18" fillId="0" borderId="0" xfId="0" applyFont="1" applyAlignment="1">
      <alignment horizontal="right"/>
    </xf>
    <xf numFmtId="42" fontId="4" fillId="0" borderId="0" xfId="0" applyNumberFormat="1" applyFont="1"/>
    <xf numFmtId="42" fontId="4" fillId="0" borderId="6" xfId="0" applyNumberFormat="1" applyFont="1" applyBorder="1"/>
    <xf numFmtId="42" fontId="18" fillId="0" borderId="0" xfId="0" applyNumberFormat="1" applyFont="1"/>
    <xf numFmtId="42" fontId="18" fillId="0" borderId="6" xfId="0" applyNumberFormat="1" applyFont="1" applyBorder="1"/>
    <xf numFmtId="42" fontId="4" fillId="14" borderId="0" xfId="0" applyNumberFormat="1" applyFont="1" applyFill="1"/>
    <xf numFmtId="42" fontId="4" fillId="14" borderId="6" xfId="0" applyNumberFormat="1" applyFont="1" applyFill="1" applyBorder="1"/>
    <xf numFmtId="0" fontId="1" fillId="0" borderId="1" xfId="0" applyFont="1" applyBorder="1" applyAlignment="1">
      <alignment horizontal="right"/>
    </xf>
    <xf numFmtId="42" fontId="2" fillId="0" borderId="6" xfId="0" applyNumberFormat="1" applyFont="1" applyBorder="1"/>
    <xf numFmtId="9" fontId="5" fillId="13" borderId="0" xfId="1" applyNumberFormat="1" applyFont="1" applyFill="1" applyBorder="1"/>
    <xf numFmtId="9" fontId="0" fillId="13" borderId="0" xfId="0" applyNumberFormat="1" applyFill="1"/>
    <xf numFmtId="9" fontId="0" fillId="0" borderId="0" xfId="0" applyNumberFormat="1"/>
    <xf numFmtId="168" fontId="4" fillId="0" borderId="0" xfId="0" applyNumberFormat="1" applyFont="1"/>
    <xf numFmtId="168" fontId="4" fillId="0" borderId="2" xfId="0" applyNumberFormat="1" applyFont="1" applyBorder="1"/>
    <xf numFmtId="168" fontId="4" fillId="14" borderId="0" xfId="0" applyNumberFormat="1" applyFont="1" applyFill="1"/>
    <xf numFmtId="0" fontId="6" fillId="0" borderId="2" xfId="0" applyFont="1" applyBorder="1" applyAlignment="1">
      <alignment horizontal="center"/>
    </xf>
    <xf numFmtId="44" fontId="0" fillId="0" borderId="0" xfId="2" applyFont="1"/>
    <xf numFmtId="44" fontId="0" fillId="0" borderId="0" xfId="0" applyNumberFormat="1"/>
    <xf numFmtId="44" fontId="0" fillId="0" borderId="1" xfId="2" applyFont="1" applyBorder="1"/>
    <xf numFmtId="168" fontId="5" fillId="0" borderId="0" xfId="2" applyNumberFormat="1" applyFont="1" applyBorder="1"/>
    <xf numFmtId="1" fontId="2" fillId="0" borderId="2" xfId="0" applyNumberFormat="1" applyFont="1" applyBorder="1" applyAlignment="1">
      <alignment horizontal="center"/>
    </xf>
    <xf numFmtId="8" fontId="4" fillId="0" borderId="0" xfId="0" applyNumberFormat="1" applyFont="1"/>
    <xf numFmtId="42" fontId="4" fillId="0" borderId="8" xfId="0" applyNumberFormat="1" applyFont="1" applyBorder="1"/>
    <xf numFmtId="42" fontId="4" fillId="9" borderId="0" xfId="0" applyNumberFormat="1" applyFont="1" applyFill="1"/>
    <xf numFmtId="42" fontId="4" fillId="9" borderId="6" xfId="0" applyNumberFormat="1" applyFont="1" applyFill="1" applyBorder="1"/>
    <xf numFmtId="42" fontId="4" fillId="9" borderId="2" xfId="0" applyNumberFormat="1" applyFont="1" applyFill="1" applyBorder="1"/>
    <xf numFmtId="42" fontId="4" fillId="9" borderId="8" xfId="0" applyNumberFormat="1" applyFont="1" applyFill="1" applyBorder="1"/>
    <xf numFmtId="168" fontId="4" fillId="9" borderId="0" xfId="0" applyNumberFormat="1" applyFont="1" applyFill="1"/>
    <xf numFmtId="0" fontId="0" fillId="9" borderId="0" xfId="0" applyFill="1"/>
    <xf numFmtId="166" fontId="5" fillId="9" borderId="0" xfId="1" applyNumberFormat="1" applyFont="1" applyFill="1" applyBorder="1"/>
    <xf numFmtId="166" fontId="5" fillId="9" borderId="2" xfId="1" applyNumberFormat="1" applyFont="1" applyFill="1" applyBorder="1"/>
    <xf numFmtId="167" fontId="5" fillId="9" borderId="0" xfId="1" applyNumberFormat="1" applyFont="1" applyFill="1" applyBorder="1"/>
    <xf numFmtId="167" fontId="5" fillId="9" borderId="2" xfId="1" applyNumberFormat="1" applyFont="1" applyFill="1" applyBorder="1"/>
    <xf numFmtId="165" fontId="5" fillId="9" borderId="0" xfId="1" applyNumberFormat="1" applyFont="1" applyFill="1" applyBorder="1"/>
    <xf numFmtId="165" fontId="5" fillId="9" borderId="2" xfId="1" applyNumberFormat="1" applyFont="1" applyFill="1" applyBorder="1"/>
    <xf numFmtId="168" fontId="5" fillId="9" borderId="22" xfId="4" applyNumberFormat="1" applyFont="1" applyFill="1" applyBorder="1" applyAlignment="1">
      <alignment horizontal="right"/>
    </xf>
    <xf numFmtId="168" fontId="5" fillId="9" borderId="6" xfId="4" applyNumberFormat="1" applyFont="1" applyFill="1" applyBorder="1" applyAlignment="1">
      <alignment horizontal="right"/>
    </xf>
    <xf numFmtId="168" fontId="5" fillId="9" borderId="0" xfId="4" applyNumberFormat="1" applyFont="1" applyFill="1" applyBorder="1" applyAlignment="1">
      <alignment horizontal="right"/>
    </xf>
    <xf numFmtId="168" fontId="5" fillId="0" borderId="2" xfId="1" applyNumberFormat="1" applyFont="1" applyFill="1" applyBorder="1"/>
    <xf numFmtId="168" fontId="5" fillId="0" borderId="8" xfId="1" applyNumberFormat="1" applyFont="1" applyFill="1" applyBorder="1"/>
    <xf numFmtId="168" fontId="5" fillId="0" borderId="0" xfId="2" applyNumberFormat="1" applyFont="1" applyFill="1" applyBorder="1" applyAlignment="1">
      <alignment horizontal="center"/>
    </xf>
    <xf numFmtId="168" fontId="5" fillId="0" borderId="6" xfId="2" applyNumberFormat="1" applyFont="1" applyFill="1" applyBorder="1" applyAlignment="1">
      <alignment horizontal="center"/>
    </xf>
    <xf numFmtId="168" fontId="5" fillId="0" borderId="1" xfId="0" applyNumberFormat="1" applyFont="1" applyBorder="1"/>
    <xf numFmtId="168" fontId="5" fillId="0" borderId="7" xfId="0" applyNumberFormat="1" applyFont="1" applyBorder="1"/>
    <xf numFmtId="168" fontId="5" fillId="9" borderId="0" xfId="1" applyNumberFormat="1" applyFont="1" applyFill="1" applyBorder="1"/>
    <xf numFmtId="168" fontId="5" fillId="9" borderId="2" xfId="1" applyNumberFormat="1" applyFont="1" applyFill="1" applyBorder="1"/>
    <xf numFmtId="9" fontId="5" fillId="9" borderId="0" xfId="1" applyNumberFormat="1" applyFont="1" applyFill="1" applyBorder="1"/>
    <xf numFmtId="169" fontId="5" fillId="0" borderId="0" xfId="2" quotePrefix="1" applyNumberFormat="1" applyFont="1" applyBorder="1"/>
    <xf numFmtId="166" fontId="4" fillId="9" borderId="0" xfId="1" applyNumberFormat="1" applyFont="1" applyFill="1" applyBorder="1" applyAlignment="1">
      <alignment horizontal="center"/>
    </xf>
    <xf numFmtId="166" fontId="4" fillId="9" borderId="2" xfId="1" applyNumberFormat="1" applyFont="1" applyFill="1" applyBorder="1" applyAlignment="1">
      <alignment horizontal="center"/>
    </xf>
    <xf numFmtId="42" fontId="4" fillId="9" borderId="57" xfId="0" applyNumberFormat="1" applyFont="1" applyFill="1" applyBorder="1"/>
    <xf numFmtId="42" fontId="4" fillId="0" borderId="57" xfId="0" applyNumberFormat="1" applyFont="1" applyBorder="1"/>
    <xf numFmtId="169" fontId="4" fillId="9" borderId="0" xfId="2" applyNumberFormat="1" applyFont="1" applyFill="1" applyBorder="1"/>
    <xf numFmtId="169" fontId="4" fillId="9" borderId="6" xfId="2" applyNumberFormat="1" applyFont="1" applyFill="1" applyBorder="1"/>
    <xf numFmtId="169" fontId="4" fillId="9" borderId="2" xfId="2" applyNumberFormat="1" applyFont="1" applyFill="1" applyBorder="1"/>
    <xf numFmtId="169" fontId="4" fillId="9" borderId="8" xfId="2" applyNumberFormat="1" applyFont="1" applyFill="1" applyBorder="1"/>
    <xf numFmtId="0" fontId="5" fillId="6" borderId="27" xfId="0" applyFont="1" applyFill="1" applyBorder="1" applyAlignment="1">
      <alignment horizontal="center"/>
    </xf>
    <xf numFmtId="1" fontId="5" fillId="4" borderId="18" xfId="2" applyNumberFormat="1" applyFont="1" applyFill="1" applyBorder="1" applyAlignment="1">
      <alignment horizontal="center"/>
    </xf>
    <xf numFmtId="167" fontId="5" fillId="0" borderId="22" xfId="1" applyNumberFormat="1" applyFont="1" applyFill="1" applyBorder="1"/>
    <xf numFmtId="169" fontId="4" fillId="0" borderId="2" xfId="2" applyNumberFormat="1" applyFont="1" applyFill="1" applyBorder="1"/>
    <xf numFmtId="169" fontId="4" fillId="0" borderId="8" xfId="2" applyNumberFormat="1" applyFont="1" applyFill="1" applyBorder="1"/>
    <xf numFmtId="3" fontId="0" fillId="0" borderId="0" xfId="0" applyNumberFormat="1"/>
    <xf numFmtId="44" fontId="5" fillId="0" borderId="34" xfId="2" applyFont="1" applyFill="1" applyBorder="1" applyAlignment="1">
      <alignment horizontal="center"/>
    </xf>
    <xf numFmtId="0" fontId="14" fillId="4" borderId="2" xfId="0" applyFont="1" applyFill="1" applyBorder="1" applyAlignment="1">
      <alignment horizontal="center"/>
    </xf>
    <xf numFmtId="0" fontId="5" fillId="6" borderId="37" xfId="0" applyFont="1" applyFill="1" applyBorder="1" applyAlignment="1">
      <alignment horizontal="center"/>
    </xf>
    <xf numFmtId="0" fontId="5" fillId="6" borderId="15" xfId="0" applyFont="1" applyFill="1" applyBorder="1" applyAlignment="1">
      <alignment horizontal="center"/>
    </xf>
    <xf numFmtId="0" fontId="5" fillId="6" borderId="36" xfId="0" applyFont="1" applyFill="1" applyBorder="1" applyAlignment="1">
      <alignment horizontal="center"/>
    </xf>
    <xf numFmtId="49" fontId="5" fillId="4" borderId="2" xfId="0" applyNumberFormat="1" applyFont="1" applyFill="1" applyBorder="1" applyAlignment="1">
      <alignment horizontal="center"/>
    </xf>
    <xf numFmtId="49" fontId="5" fillId="4" borderId="15" xfId="0" applyNumberFormat="1" applyFont="1" applyFill="1" applyBorder="1" applyAlignment="1">
      <alignment horizontal="center"/>
    </xf>
    <xf numFmtId="0" fontId="2" fillId="0" borderId="2" xfId="0" applyFont="1" applyBorder="1" applyAlignment="1">
      <alignment horizontal="center"/>
    </xf>
    <xf numFmtId="49" fontId="5" fillId="4" borderId="1" xfId="0" applyNumberFormat="1" applyFont="1" applyFill="1" applyBorder="1" applyAlignment="1">
      <alignment horizontal="center"/>
    </xf>
    <xf numFmtId="0" fontId="5" fillId="4" borderId="15" xfId="0" applyFont="1" applyFill="1" applyBorder="1" applyAlignment="1">
      <alignment horizontal="center"/>
    </xf>
    <xf numFmtId="0" fontId="5" fillId="0" borderId="0" xfId="0" applyFont="1" applyBorder="1" applyAlignment="1">
      <alignment horizontal="center"/>
    </xf>
    <xf numFmtId="49" fontId="6" fillId="0" borderId="0" xfId="0" applyNumberFormat="1" applyFont="1" applyBorder="1" applyAlignment="1">
      <alignment horizontal="left"/>
    </xf>
    <xf numFmtId="37" fontId="5" fillId="0" borderId="0" xfId="3" applyFont="1" applyBorder="1" applyAlignment="1">
      <alignment horizontal="centerContinuous"/>
    </xf>
    <xf numFmtId="3" fontId="5" fillId="0" borderId="0" xfId="3" applyNumberFormat="1" applyFont="1" applyBorder="1" applyAlignment="1">
      <alignment horizontal="right"/>
    </xf>
    <xf numFmtId="3" fontId="5" fillId="3" borderId="0" xfId="3" applyNumberFormat="1" applyFont="1" applyFill="1" applyBorder="1" applyAlignment="1">
      <alignment horizontal="right"/>
    </xf>
    <xf numFmtId="37" fontId="5" fillId="0" borderId="0" xfId="3" applyFont="1" applyBorder="1"/>
    <xf numFmtId="49" fontId="6" fillId="0" borderId="61" xfId="0" applyNumberFormat="1" applyFont="1" applyBorder="1" applyAlignment="1">
      <alignment horizontal="left"/>
    </xf>
    <xf numFmtId="49" fontId="5" fillId="0" borderId="62" xfId="0" applyNumberFormat="1" applyFont="1" applyBorder="1" applyAlignment="1">
      <alignment horizontal="center"/>
    </xf>
    <xf numFmtId="1" fontId="5" fillId="0" borderId="62" xfId="2" applyNumberFormat="1" applyFont="1" applyBorder="1" applyAlignment="1">
      <alignment horizontal="center"/>
    </xf>
    <xf numFmtId="1" fontId="5" fillId="0" borderId="63" xfId="2" applyNumberFormat="1" applyFont="1" applyBorder="1" applyAlignment="1">
      <alignment horizontal="center"/>
    </xf>
    <xf numFmtId="1" fontId="5" fillId="0" borderId="64" xfId="2" applyNumberFormat="1" applyFont="1" applyBorder="1" applyAlignment="1">
      <alignment horizontal="center"/>
    </xf>
    <xf numFmtId="49" fontId="6" fillId="0" borderId="65" xfId="0" applyNumberFormat="1" applyFont="1" applyBorder="1" applyAlignment="1">
      <alignment horizontal="left"/>
    </xf>
    <xf numFmtId="169" fontId="5" fillId="0" borderId="66" xfId="2" applyNumberFormat="1" applyFont="1" applyBorder="1"/>
    <xf numFmtId="168" fontId="5" fillId="3" borderId="66" xfId="4" applyNumberFormat="1" applyFont="1" applyFill="1" applyBorder="1"/>
    <xf numFmtId="49" fontId="5" fillId="0" borderId="65" xfId="0" applyNumberFormat="1" applyFont="1" applyBorder="1" applyAlignment="1">
      <alignment horizontal="center"/>
    </xf>
    <xf numFmtId="44" fontId="5" fillId="0" borderId="66" xfId="2" applyFont="1" applyFill="1" applyBorder="1" applyAlignment="1">
      <alignment horizontal="center"/>
    </xf>
    <xf numFmtId="49" fontId="5" fillId="0" borderId="67" xfId="0" applyNumberFormat="1" applyFont="1" applyBorder="1" applyAlignment="1">
      <alignment horizontal="center"/>
    </xf>
    <xf numFmtId="3" fontId="5" fillId="0" borderId="68" xfId="3" applyNumberFormat="1" applyFont="1" applyBorder="1" applyAlignment="1">
      <alignment horizontal="right"/>
    </xf>
    <xf numFmtId="3" fontId="5" fillId="3" borderId="68" xfId="3" applyNumberFormat="1" applyFont="1" applyFill="1" applyBorder="1" applyAlignment="1">
      <alignment horizontal="right"/>
    </xf>
    <xf numFmtId="37" fontId="5" fillId="0" borderId="68" xfId="3" applyFont="1" applyBorder="1"/>
    <xf numFmtId="44" fontId="5" fillId="2" borderId="68" xfId="2" applyFont="1" applyFill="1" applyBorder="1" applyAlignment="1">
      <alignment horizontal="right"/>
    </xf>
    <xf numFmtId="44" fontId="5" fillId="0" borderId="69" xfId="2" applyFont="1" applyFill="1" applyBorder="1" applyAlignment="1">
      <alignment horizontal="right"/>
    </xf>
    <xf numFmtId="44" fontId="5" fillId="0" borderId="68" xfId="2" applyFont="1" applyFill="1" applyBorder="1" applyAlignment="1">
      <alignment horizontal="right"/>
    </xf>
    <xf numFmtId="44" fontId="5" fillId="0" borderId="70" xfId="2" applyFont="1" applyFill="1" applyBorder="1" applyAlignment="1">
      <alignment horizontal="right"/>
    </xf>
    <xf numFmtId="44" fontId="5" fillId="0" borderId="60" xfId="2" applyFont="1" applyFill="1" applyBorder="1" applyAlignment="1">
      <alignment horizontal="center"/>
    </xf>
    <xf numFmtId="49" fontId="5" fillId="0" borderId="0" xfId="0" applyNumberFormat="1" applyFont="1" applyBorder="1" applyAlignment="1">
      <alignment horizontal="right"/>
    </xf>
    <xf numFmtId="49" fontId="5" fillId="0" borderId="0" xfId="0" applyNumberFormat="1" applyFont="1" applyBorder="1" applyAlignment="1">
      <alignment horizontal="left"/>
    </xf>
    <xf numFmtId="0" fontId="5" fillId="0" borderId="0" xfId="0" applyFont="1" applyBorder="1" applyAlignment="1">
      <alignment horizontal="left"/>
    </xf>
    <xf numFmtId="49" fontId="5" fillId="0" borderId="62" xfId="0" applyNumberFormat="1" applyFont="1" applyBorder="1" applyAlignment="1">
      <alignment horizontal="right"/>
    </xf>
    <xf numFmtId="0" fontId="5" fillId="0" borderId="62" xfId="0" applyFont="1" applyBorder="1"/>
    <xf numFmtId="168" fontId="5" fillId="0" borderId="62" xfId="4" applyNumberFormat="1" applyFont="1" applyFill="1" applyBorder="1"/>
    <xf numFmtId="168" fontId="5" fillId="3" borderId="63" xfId="4" applyNumberFormat="1" applyFont="1" applyFill="1" applyBorder="1"/>
    <xf numFmtId="168" fontId="5" fillId="3" borderId="62" xfId="4" applyNumberFormat="1" applyFont="1" applyFill="1" applyBorder="1"/>
    <xf numFmtId="168" fontId="5" fillId="3" borderId="64" xfId="4" applyNumberFormat="1" applyFont="1" applyFill="1" applyBorder="1"/>
    <xf numFmtId="168" fontId="5" fillId="0" borderId="66" xfId="4" applyNumberFormat="1" applyFont="1" applyFill="1" applyBorder="1"/>
    <xf numFmtId="44" fontId="5" fillId="0" borderId="66" xfId="2" applyFont="1" applyFill="1" applyBorder="1" applyAlignment="1">
      <alignment horizontal="right"/>
    </xf>
    <xf numFmtId="168" fontId="5" fillId="0" borderId="69" xfId="4" applyNumberFormat="1" applyFont="1" applyFill="1" applyBorder="1"/>
    <xf numFmtId="168" fontId="5" fillId="0" borderId="68" xfId="4" applyNumberFormat="1" applyFont="1" applyFill="1" applyBorder="1"/>
    <xf numFmtId="168" fontId="5" fillId="0" borderId="70" xfId="4" applyNumberFormat="1" applyFont="1" applyFill="1" applyBorder="1"/>
    <xf numFmtId="0" fontId="20" fillId="0" borderId="0" xfId="0" applyFont="1"/>
    <xf numFmtId="0" fontId="1" fillId="0" borderId="0" xfId="0" applyFont="1" applyAlignment="1">
      <alignment horizontal="left" vertical="top" wrapText="1"/>
    </xf>
  </cellXfs>
  <cellStyles count="15">
    <cellStyle name="Comma" xfId="1" builtinId="3"/>
    <cellStyle name="Comma 2" xfId="6" xr:uid="{00000000-0005-0000-0000-000001000000}"/>
    <cellStyle name="Comma 3" xfId="7" xr:uid="{00000000-0005-0000-0000-000002000000}"/>
    <cellStyle name="Comma 4" xfId="8" xr:uid="{00000000-0005-0000-0000-000003000000}"/>
    <cellStyle name="Currency" xfId="2" builtinId="4"/>
    <cellStyle name="Currency 2" xfId="9" xr:uid="{00000000-0005-0000-0000-000005000000}"/>
    <cellStyle name="Currency 3" xfId="10" xr:uid="{00000000-0005-0000-0000-000006000000}"/>
    <cellStyle name="Currency 4" xfId="11" xr:uid="{00000000-0005-0000-0000-000007000000}"/>
    <cellStyle name="Normal" xfId="0" builtinId="0"/>
    <cellStyle name="Normal 10 24" xfId="14" xr:uid="{00000000-0005-0000-0000-000009000000}"/>
    <cellStyle name="Normal 2" xfId="5" xr:uid="{00000000-0005-0000-0000-00000A000000}"/>
    <cellStyle name="Normal_Waj-W" xfId="3" xr:uid="{00000000-0005-0000-0000-00000B000000}"/>
    <cellStyle name="Percent" xfId="4" builtinId="5"/>
    <cellStyle name="Percent 2" xfId="12" xr:uid="{00000000-0005-0000-0000-00000D000000}"/>
    <cellStyle name="Percent 3" xfId="13" xr:uid="{00000000-0005-0000-0000-00000E000000}"/>
  </cellStyles>
  <dxfs count="0"/>
  <tableStyles count="0" defaultTableStyle="TableStyleMedium9" defaultPivotStyle="PivotStyleLight16"/>
  <colors>
    <mruColors>
      <color rgb="FFFFFF99"/>
      <color rgb="FFC0C0C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solidFill>
                  <a:schemeClr val="accent2"/>
                </a:solidFill>
              </a:defRPr>
            </a:pPr>
            <a:r>
              <a:rPr lang="en-US"/>
              <a:t>Water - Proposed Rate Adjustment</a:t>
            </a:r>
          </a:p>
        </c:rich>
      </c:tx>
      <c:overlay val="0"/>
    </c:title>
    <c:autoTitleDeleted val="0"/>
    <c:view3D>
      <c:rotX val="15"/>
      <c:rotY val="20"/>
      <c:rAngAx val="1"/>
    </c:view3D>
    <c:floor>
      <c:thickness val="0"/>
    </c:floor>
    <c:sideWall>
      <c:thickness val="0"/>
    </c:sideWall>
    <c:backWall>
      <c:thickness val="0"/>
    </c:backWall>
    <c:plotArea>
      <c:layout/>
      <c:bar3DChart>
        <c:barDir val="col"/>
        <c:grouping val="clustered"/>
        <c:varyColors val="0"/>
        <c:ser>
          <c:idx val="0"/>
          <c:order val="0"/>
          <c:tx>
            <c:v>Water</c:v>
          </c:tx>
          <c:invertIfNegative val="0"/>
          <c:cat>
            <c:numRef>
              <c:f>Sum!$G$259:$P$259</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Sum!$G$261:$P$261</c:f>
              <c:numCache>
                <c:formatCode>0.0%</c:formatCode>
                <c:ptCount val="10"/>
                <c:pt idx="0">
                  <c:v>0.75</c:v>
                </c:pt>
                <c:pt idx="1">
                  <c:v>0.1</c:v>
                </c:pt>
                <c:pt idx="2">
                  <c:v>0.03</c:v>
                </c:pt>
                <c:pt idx="3">
                  <c:v>0.03</c:v>
                </c:pt>
                <c:pt idx="4">
                  <c:v>0.03</c:v>
                </c:pt>
                <c:pt idx="5">
                  <c:v>0.03</c:v>
                </c:pt>
                <c:pt idx="6">
                  <c:v>0.03</c:v>
                </c:pt>
                <c:pt idx="7">
                  <c:v>0.03</c:v>
                </c:pt>
                <c:pt idx="8">
                  <c:v>0.03</c:v>
                </c:pt>
                <c:pt idx="9">
                  <c:v>0.03</c:v>
                </c:pt>
              </c:numCache>
            </c:numRef>
          </c:val>
          <c:extLst>
            <c:ext xmlns:c16="http://schemas.microsoft.com/office/drawing/2014/chart" uri="{C3380CC4-5D6E-409C-BE32-E72D297353CC}">
              <c16:uniqueId val="{00000000-C4AC-4AC9-9049-34615AE388D3}"/>
            </c:ext>
          </c:extLst>
        </c:ser>
        <c:dLbls>
          <c:showLegendKey val="0"/>
          <c:showVal val="0"/>
          <c:showCatName val="0"/>
          <c:showSerName val="0"/>
          <c:showPercent val="0"/>
          <c:showBubbleSize val="0"/>
        </c:dLbls>
        <c:gapWidth val="150"/>
        <c:shape val="box"/>
        <c:axId val="485435408"/>
        <c:axId val="485438544"/>
        <c:axId val="0"/>
      </c:bar3DChart>
      <c:catAx>
        <c:axId val="485435408"/>
        <c:scaling>
          <c:orientation val="minMax"/>
        </c:scaling>
        <c:delete val="0"/>
        <c:axPos val="b"/>
        <c:numFmt formatCode="0" sourceLinked="1"/>
        <c:majorTickMark val="out"/>
        <c:minorTickMark val="none"/>
        <c:tickLblPos val="nextTo"/>
        <c:crossAx val="485438544"/>
        <c:crosses val="autoZero"/>
        <c:auto val="1"/>
        <c:lblAlgn val="ctr"/>
        <c:lblOffset val="100"/>
        <c:noMultiLvlLbl val="0"/>
      </c:catAx>
      <c:valAx>
        <c:axId val="485438544"/>
        <c:scaling>
          <c:orientation val="minMax"/>
          <c:min val="0"/>
        </c:scaling>
        <c:delete val="0"/>
        <c:axPos val="l"/>
        <c:majorGridlines/>
        <c:numFmt formatCode="0.0%" sourceLinked="1"/>
        <c:majorTickMark val="out"/>
        <c:minorTickMark val="none"/>
        <c:tickLblPos val="nextTo"/>
        <c:crossAx val="485435408"/>
        <c:crosses val="autoZero"/>
        <c:crossBetween val="between"/>
      </c:valAx>
    </c:plotArea>
    <c:plotVisOnly val="1"/>
    <c:dispBlanksAs val="gap"/>
    <c:showDLblsOverMax val="0"/>
  </c:chart>
  <c:txPr>
    <a:bodyPr/>
    <a:lstStyle/>
    <a:p>
      <a:pPr>
        <a:defRPr sz="1100" b="1">
          <a:solidFill>
            <a:schemeClr val="tx2"/>
          </a:solidFill>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solidFill>
                  <a:schemeClr val="accent2"/>
                </a:solidFill>
              </a:defRPr>
            </a:pPr>
            <a:r>
              <a:rPr lang="en-US"/>
              <a:t>Wastewater - Proposed Rate Adjustment</a:t>
            </a:r>
          </a:p>
        </c:rich>
      </c:tx>
      <c:overlay val="0"/>
    </c:title>
    <c:autoTitleDeleted val="0"/>
    <c:view3D>
      <c:rotX val="15"/>
      <c:rotY val="20"/>
      <c:rAngAx val="1"/>
    </c:view3D>
    <c:floor>
      <c:thickness val="0"/>
    </c:floor>
    <c:sideWall>
      <c:thickness val="0"/>
    </c:sideWall>
    <c:backWall>
      <c:thickness val="0"/>
    </c:backWall>
    <c:plotArea>
      <c:layout/>
      <c:bar3DChart>
        <c:barDir val="col"/>
        <c:grouping val="clustered"/>
        <c:varyColors val="0"/>
        <c:ser>
          <c:idx val="0"/>
          <c:order val="0"/>
          <c:tx>
            <c:v>Wastewater</c:v>
          </c:tx>
          <c:invertIfNegative val="0"/>
          <c:cat>
            <c:numRef>
              <c:f>Sum!$G$259:$P$259</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Sum!$G$369:$P$369</c:f>
              <c:numCache>
                <c:formatCode>0.0%</c:formatCode>
                <c:ptCount val="10"/>
                <c:pt idx="0">
                  <c:v>0.3</c:v>
                </c:pt>
                <c:pt idx="1">
                  <c:v>0.3</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DA9E-426C-B54C-D09653C7C6C3}"/>
            </c:ext>
          </c:extLst>
        </c:ser>
        <c:dLbls>
          <c:showLegendKey val="0"/>
          <c:showVal val="0"/>
          <c:showCatName val="0"/>
          <c:showSerName val="0"/>
          <c:showPercent val="0"/>
          <c:showBubbleSize val="0"/>
        </c:dLbls>
        <c:gapWidth val="150"/>
        <c:shape val="box"/>
        <c:axId val="485435016"/>
        <c:axId val="485437760"/>
        <c:axId val="0"/>
      </c:bar3DChart>
      <c:catAx>
        <c:axId val="485435016"/>
        <c:scaling>
          <c:orientation val="minMax"/>
        </c:scaling>
        <c:delete val="0"/>
        <c:axPos val="b"/>
        <c:numFmt formatCode="0" sourceLinked="1"/>
        <c:majorTickMark val="out"/>
        <c:minorTickMark val="none"/>
        <c:tickLblPos val="nextTo"/>
        <c:crossAx val="485437760"/>
        <c:crosses val="autoZero"/>
        <c:auto val="1"/>
        <c:lblAlgn val="ctr"/>
        <c:lblOffset val="100"/>
        <c:noMultiLvlLbl val="0"/>
      </c:catAx>
      <c:valAx>
        <c:axId val="485437760"/>
        <c:scaling>
          <c:orientation val="minMax"/>
          <c:min val="0"/>
        </c:scaling>
        <c:delete val="0"/>
        <c:axPos val="l"/>
        <c:majorGridlines/>
        <c:numFmt formatCode="0.0%" sourceLinked="1"/>
        <c:majorTickMark val="out"/>
        <c:minorTickMark val="none"/>
        <c:tickLblPos val="nextTo"/>
        <c:crossAx val="485435016"/>
        <c:crosses val="autoZero"/>
        <c:crossBetween val="between"/>
      </c:valAx>
    </c:plotArea>
    <c:plotVisOnly val="1"/>
    <c:dispBlanksAs val="gap"/>
    <c:showDLblsOverMax val="0"/>
  </c:chart>
  <c:txPr>
    <a:bodyPr/>
    <a:lstStyle/>
    <a:p>
      <a:pPr>
        <a:defRPr sz="1100" b="1">
          <a:solidFill>
            <a:schemeClr val="tx2"/>
          </a:solidFill>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a:solidFill>
                  <a:schemeClr val="accent2"/>
                </a:solidFill>
              </a:defRPr>
            </a:pPr>
            <a:r>
              <a:rPr lang="en-US"/>
              <a:t>Water Revenue Requirement Summary</a:t>
            </a:r>
          </a:p>
        </c:rich>
      </c:tx>
      <c:overlay val="0"/>
    </c:title>
    <c:autoTitleDeleted val="0"/>
    <c:plotArea>
      <c:layout/>
      <c:barChart>
        <c:barDir val="col"/>
        <c:grouping val="stacked"/>
        <c:varyColors val="0"/>
        <c:ser>
          <c:idx val="1"/>
          <c:order val="1"/>
          <c:tx>
            <c:v>O&amp;M Expenses</c:v>
          </c:tx>
          <c:spPr>
            <a:solidFill>
              <a:schemeClr val="tx2"/>
            </a:solidFill>
          </c:spPr>
          <c:invertIfNegative val="0"/>
          <c:cat>
            <c:numRef>
              <c:f>Sum!$G$77:$P$77</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Sum!$G$87:$P$87</c:f>
              <c:numCache>
                <c:formatCode>_("$"* #,##0_);_("$"* \(#,##0\);_("$"* "-"??_);_(@_)</c:formatCode>
                <c:ptCount val="10"/>
                <c:pt idx="0">
                  <c:v>2644800</c:v>
                </c:pt>
                <c:pt idx="1">
                  <c:v>2724144</c:v>
                </c:pt>
                <c:pt idx="2">
                  <c:v>2805868.32</c:v>
                </c:pt>
                <c:pt idx="3">
                  <c:v>2890044.3695999999</c:v>
                </c:pt>
                <c:pt idx="4">
                  <c:v>2976745.7006879998</c:v>
                </c:pt>
                <c:pt idx="5">
                  <c:v>3066048.0717086401</c:v>
                </c:pt>
                <c:pt idx="6">
                  <c:v>3158029.5138598997</c:v>
                </c:pt>
                <c:pt idx="7">
                  <c:v>3252770.3992756968</c:v>
                </c:pt>
                <c:pt idx="8">
                  <c:v>3350353.5112539679</c:v>
                </c:pt>
                <c:pt idx="9">
                  <c:v>3450864.1165915867</c:v>
                </c:pt>
              </c:numCache>
            </c:numRef>
          </c:val>
          <c:extLst>
            <c:ext xmlns:c16="http://schemas.microsoft.com/office/drawing/2014/chart" uri="{C3380CC4-5D6E-409C-BE32-E72D297353CC}">
              <c16:uniqueId val="{00000000-6BBB-4F51-B5C6-7155F939D898}"/>
            </c:ext>
          </c:extLst>
        </c:ser>
        <c:ser>
          <c:idx val="2"/>
          <c:order val="2"/>
          <c:tx>
            <c:v>Existing Debt</c:v>
          </c:tx>
          <c:spPr>
            <a:solidFill>
              <a:schemeClr val="accent1"/>
            </a:solidFill>
          </c:spPr>
          <c:invertIfNegative val="0"/>
          <c:cat>
            <c:numRef>
              <c:f>Sum!$G$77:$P$77</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Sum!$G$90:$P$90</c:f>
              <c:numCache>
                <c:formatCode>_("$"* #,##0_);_("$"* \(#,##0\);_("$"* "-"??_);_(@_)</c:formatCode>
                <c:ptCount val="10"/>
                <c:pt idx="0">
                  <c:v>61621.25</c:v>
                </c:pt>
                <c:pt idx="1">
                  <c:v>61617.75</c:v>
                </c:pt>
                <c:pt idx="2">
                  <c:v>61609.5</c:v>
                </c:pt>
                <c:pt idx="3">
                  <c:v>61596.5</c:v>
                </c:pt>
                <c:pt idx="4">
                  <c:v>61578.75</c:v>
                </c:pt>
                <c:pt idx="5">
                  <c:v>61556.25</c:v>
                </c:pt>
                <c:pt idx="6">
                  <c:v>61529</c:v>
                </c:pt>
                <c:pt idx="7">
                  <c:v>61497</c:v>
                </c:pt>
                <c:pt idx="8">
                  <c:v>61460.25</c:v>
                </c:pt>
                <c:pt idx="9">
                  <c:v>61418.75</c:v>
                </c:pt>
              </c:numCache>
            </c:numRef>
          </c:val>
          <c:extLst>
            <c:ext xmlns:c16="http://schemas.microsoft.com/office/drawing/2014/chart" uri="{C3380CC4-5D6E-409C-BE32-E72D297353CC}">
              <c16:uniqueId val="{00000001-6BBB-4F51-B5C6-7155F939D898}"/>
            </c:ext>
          </c:extLst>
        </c:ser>
        <c:ser>
          <c:idx val="3"/>
          <c:order val="3"/>
          <c:tx>
            <c:v>New Debt</c:v>
          </c:tx>
          <c:spPr>
            <a:solidFill>
              <a:schemeClr val="accent2"/>
            </a:solidFill>
          </c:spPr>
          <c:invertIfNegative val="0"/>
          <c:cat>
            <c:numRef>
              <c:f>Sum!$G$77:$P$77</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Sum!$G$91:$P$91</c:f>
              <c:numCache>
                <c:formatCode>_("$"* #,##0_);_("$"* \(#,##0\);_("$"*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6BBB-4F51-B5C6-7155F939D898}"/>
            </c:ext>
          </c:extLst>
        </c:ser>
        <c:ser>
          <c:idx val="4"/>
          <c:order val="4"/>
          <c:tx>
            <c:v>Operating Capital</c:v>
          </c:tx>
          <c:spPr>
            <a:solidFill>
              <a:schemeClr val="accent3"/>
            </a:solidFill>
          </c:spPr>
          <c:invertIfNegative val="0"/>
          <c:cat>
            <c:numRef>
              <c:f>Sum!$G$77:$P$77</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Sum!$G$88:$P$88</c:f>
              <c:numCache>
                <c:formatCode>_("$"* #,##0_);_("$"* \(#,##0\);_("$"*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6BBB-4F51-B5C6-7155F939D898}"/>
            </c:ext>
          </c:extLst>
        </c:ser>
        <c:ser>
          <c:idx val="5"/>
          <c:order val="5"/>
          <c:tx>
            <c:v>Cash Funded Capital</c:v>
          </c:tx>
          <c:invertIfNegative val="0"/>
          <c:val>
            <c:numRef>
              <c:f>Sum!$G$95:$P$95</c:f>
              <c:numCache>
                <c:formatCode>_("$"* #,##0_);_("$"* \(#,##0\);_("$"* "-"??_);_(@_)</c:formatCode>
                <c:ptCount val="10"/>
                <c:pt idx="0">
                  <c:v>55436.520345819998</c:v>
                </c:pt>
                <c:pt idx="1">
                  <c:v>80436.520345819998</c:v>
                </c:pt>
                <c:pt idx="2">
                  <c:v>80436.520345819998</c:v>
                </c:pt>
                <c:pt idx="3">
                  <c:v>80436.520345819998</c:v>
                </c:pt>
                <c:pt idx="4">
                  <c:v>80436.520345819998</c:v>
                </c:pt>
                <c:pt idx="5">
                  <c:v>80436.520345819998</c:v>
                </c:pt>
                <c:pt idx="6">
                  <c:v>80436.520345819998</c:v>
                </c:pt>
                <c:pt idx="7">
                  <c:v>80436.520345819998</c:v>
                </c:pt>
                <c:pt idx="8">
                  <c:v>80436.520345819998</c:v>
                </c:pt>
                <c:pt idx="9">
                  <c:v>80436.520345819998</c:v>
                </c:pt>
              </c:numCache>
            </c:numRef>
          </c:val>
          <c:extLst>
            <c:ext xmlns:c16="http://schemas.microsoft.com/office/drawing/2014/chart" uri="{C3380CC4-5D6E-409C-BE32-E72D297353CC}">
              <c16:uniqueId val="{00000004-6BBB-4F51-B5C6-7155F939D898}"/>
            </c:ext>
          </c:extLst>
        </c:ser>
        <c:ser>
          <c:idx val="6"/>
          <c:order val="6"/>
          <c:tx>
            <c:v>Operating Transfers</c:v>
          </c:tx>
          <c:invertIfNegative val="0"/>
          <c:val>
            <c:numRef>
              <c:f>Sum!$G$94:$P$94</c:f>
              <c:numCache>
                <c:formatCode>_("$"* #,##0_);_("$"* \(#,##0\);_("$"*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5-6BBB-4F51-B5C6-7155F939D898}"/>
            </c:ext>
          </c:extLst>
        </c:ser>
        <c:dLbls>
          <c:showLegendKey val="0"/>
          <c:showVal val="0"/>
          <c:showCatName val="0"/>
          <c:showSerName val="0"/>
          <c:showPercent val="0"/>
          <c:showBubbleSize val="0"/>
        </c:dLbls>
        <c:gapWidth val="150"/>
        <c:overlap val="100"/>
        <c:axId val="485438152"/>
        <c:axId val="485438936"/>
      </c:barChart>
      <c:lineChart>
        <c:grouping val="standard"/>
        <c:varyColors val="0"/>
        <c:ser>
          <c:idx val="0"/>
          <c:order val="0"/>
          <c:tx>
            <c:v>Total Revenue</c:v>
          </c:tx>
          <c:spPr>
            <a:ln>
              <a:solidFill>
                <a:sysClr val="windowText" lastClr="000000"/>
              </a:solidFill>
              <a:prstDash val="sysDash"/>
            </a:ln>
          </c:spPr>
          <c:marker>
            <c:symbol val="none"/>
          </c:marker>
          <c:cat>
            <c:numRef>
              <c:f>Sum!$G$77:$P$77</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Sum!$G$84:$P$84</c:f>
              <c:numCache>
                <c:formatCode>_("$"* #,##0_);_("$"* \(#,##0\);_("$"* "-"??_);_(@_)</c:formatCode>
                <c:ptCount val="10"/>
                <c:pt idx="0">
                  <c:v>2833447.2672909996</c:v>
                </c:pt>
                <c:pt idx="1">
                  <c:v>3074260.6799229998</c:v>
                </c:pt>
                <c:pt idx="2">
                  <c:v>3152831.6108275</c:v>
                </c:pt>
                <c:pt idx="3">
                  <c:v>3232155.9669717452</c:v>
                </c:pt>
                <c:pt idx="4">
                  <c:v>3312256.4936129274</c:v>
                </c:pt>
                <c:pt idx="5">
                  <c:v>3393156.6183659555</c:v>
                </c:pt>
                <c:pt idx="6">
                  <c:v>3480803.435331184</c:v>
                </c:pt>
                <c:pt idx="7">
                  <c:v>3569298.8352082693</c:v>
                </c:pt>
                <c:pt idx="8">
                  <c:v>3658668.4179845671</c:v>
                </c:pt>
                <c:pt idx="9">
                  <c:v>3754861.5153040541</c:v>
                </c:pt>
              </c:numCache>
            </c:numRef>
          </c:val>
          <c:smooth val="0"/>
          <c:extLst>
            <c:ext xmlns:c16="http://schemas.microsoft.com/office/drawing/2014/chart" uri="{C3380CC4-5D6E-409C-BE32-E72D297353CC}">
              <c16:uniqueId val="{00000006-6BBB-4F51-B5C6-7155F939D898}"/>
            </c:ext>
          </c:extLst>
        </c:ser>
        <c:dLbls>
          <c:showLegendKey val="0"/>
          <c:showVal val="0"/>
          <c:showCatName val="0"/>
          <c:showSerName val="0"/>
          <c:showPercent val="0"/>
          <c:showBubbleSize val="0"/>
        </c:dLbls>
        <c:marker val="1"/>
        <c:smooth val="0"/>
        <c:axId val="485438152"/>
        <c:axId val="485438936"/>
      </c:lineChart>
      <c:catAx>
        <c:axId val="485438152"/>
        <c:scaling>
          <c:orientation val="minMax"/>
        </c:scaling>
        <c:delete val="0"/>
        <c:axPos val="b"/>
        <c:numFmt formatCode="0" sourceLinked="1"/>
        <c:majorTickMark val="out"/>
        <c:minorTickMark val="none"/>
        <c:tickLblPos val="nextTo"/>
        <c:txPr>
          <a:bodyPr/>
          <a:lstStyle/>
          <a:p>
            <a:pPr>
              <a:defRPr sz="1100" b="1">
                <a:solidFill>
                  <a:schemeClr val="tx2"/>
                </a:solidFill>
              </a:defRPr>
            </a:pPr>
            <a:endParaRPr lang="en-US"/>
          </a:p>
        </c:txPr>
        <c:crossAx val="485438936"/>
        <c:crosses val="autoZero"/>
        <c:auto val="1"/>
        <c:lblAlgn val="ctr"/>
        <c:lblOffset val="100"/>
        <c:noMultiLvlLbl val="0"/>
      </c:catAx>
      <c:valAx>
        <c:axId val="485438936"/>
        <c:scaling>
          <c:orientation val="minMax"/>
        </c:scaling>
        <c:delete val="0"/>
        <c:axPos val="l"/>
        <c:majorGridlines/>
        <c:numFmt formatCode="_(&quot;$&quot;* #,##0_);_(&quot;$&quot;* \(#,##0\);_(&quot;$&quot;* &quot;-&quot;??_);_(@_)" sourceLinked="1"/>
        <c:majorTickMark val="out"/>
        <c:minorTickMark val="none"/>
        <c:tickLblPos val="nextTo"/>
        <c:txPr>
          <a:bodyPr/>
          <a:lstStyle/>
          <a:p>
            <a:pPr>
              <a:defRPr sz="1100" b="1">
                <a:solidFill>
                  <a:schemeClr val="tx2"/>
                </a:solidFill>
              </a:defRPr>
            </a:pPr>
            <a:endParaRPr lang="en-US"/>
          </a:p>
        </c:txPr>
        <c:crossAx val="485438152"/>
        <c:crosses val="autoZero"/>
        <c:crossBetween val="between"/>
      </c:valAx>
    </c:plotArea>
    <c:legend>
      <c:legendPos val="b"/>
      <c:overlay val="0"/>
      <c:txPr>
        <a:bodyPr/>
        <a:lstStyle/>
        <a:p>
          <a:pPr>
            <a:defRPr sz="1100" b="1">
              <a:solidFill>
                <a:schemeClr val="tx2"/>
              </a:solidFill>
            </a:defRPr>
          </a:pPr>
          <a:endParaRPr lang="en-US"/>
        </a:p>
      </c:txPr>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a:solidFill>
                  <a:schemeClr val="accent2"/>
                </a:solidFill>
              </a:defRPr>
            </a:pPr>
            <a:r>
              <a:rPr lang="en-US"/>
              <a:t>Wastewater Revenue Requirement Summary</a:t>
            </a:r>
          </a:p>
        </c:rich>
      </c:tx>
      <c:overlay val="0"/>
    </c:title>
    <c:autoTitleDeleted val="0"/>
    <c:plotArea>
      <c:layout/>
      <c:barChart>
        <c:barDir val="col"/>
        <c:grouping val="stacked"/>
        <c:varyColors val="0"/>
        <c:ser>
          <c:idx val="1"/>
          <c:order val="1"/>
          <c:tx>
            <c:v>O&amp;M Expenses</c:v>
          </c:tx>
          <c:spPr>
            <a:solidFill>
              <a:schemeClr val="tx2"/>
            </a:solidFill>
          </c:spPr>
          <c:invertIfNegative val="0"/>
          <c:cat>
            <c:numRef>
              <c:f>Sum!$G$77:$P$77</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Sum!$G$160:$P$160</c:f>
              <c:numCache>
                <c:formatCode>_("$"* #,##0_);_("$"* \(#,##0\);_("$"* "-"??_);_(@_)</c:formatCode>
                <c:ptCount val="10"/>
                <c:pt idx="0">
                  <c:v>2594300</c:v>
                </c:pt>
                <c:pt idx="1">
                  <c:v>2672129</c:v>
                </c:pt>
                <c:pt idx="2">
                  <c:v>2752292.8699999996</c:v>
                </c:pt>
                <c:pt idx="3">
                  <c:v>2834861.6561000003</c:v>
                </c:pt>
                <c:pt idx="4">
                  <c:v>2919907.505783</c:v>
                </c:pt>
                <c:pt idx="5">
                  <c:v>3007504.7309564902</c:v>
                </c:pt>
                <c:pt idx="6">
                  <c:v>3097729.8728851853</c:v>
                </c:pt>
                <c:pt idx="7">
                  <c:v>3190661.769071741</c:v>
                </c:pt>
                <c:pt idx="8">
                  <c:v>3286381.622143893</c:v>
                </c:pt>
                <c:pt idx="9">
                  <c:v>3384973.0708082099</c:v>
                </c:pt>
              </c:numCache>
            </c:numRef>
          </c:val>
          <c:extLst>
            <c:ext xmlns:c16="http://schemas.microsoft.com/office/drawing/2014/chart" uri="{C3380CC4-5D6E-409C-BE32-E72D297353CC}">
              <c16:uniqueId val="{00000000-CDB8-4500-88BD-661709D05C18}"/>
            </c:ext>
          </c:extLst>
        </c:ser>
        <c:ser>
          <c:idx val="2"/>
          <c:order val="2"/>
          <c:tx>
            <c:v>Existing Debt</c:v>
          </c:tx>
          <c:spPr>
            <a:solidFill>
              <a:schemeClr val="accent1"/>
            </a:solidFill>
          </c:spPr>
          <c:invertIfNegative val="0"/>
          <c:cat>
            <c:numRef>
              <c:f>Sum!$G$77:$P$77</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Sum!$G$163:$P$163</c:f>
              <c:numCache>
                <c:formatCode>_("$"* #,##0_);_("$"* \(#,##0\);_("$"* "-"??_);_(@_)</c:formatCode>
                <c:ptCount val="10"/>
                <c:pt idx="0">
                  <c:v>61621.25</c:v>
                </c:pt>
                <c:pt idx="1">
                  <c:v>61617.75</c:v>
                </c:pt>
                <c:pt idx="2">
                  <c:v>61609.5</c:v>
                </c:pt>
                <c:pt idx="3">
                  <c:v>61596.5</c:v>
                </c:pt>
                <c:pt idx="4">
                  <c:v>61578.75</c:v>
                </c:pt>
                <c:pt idx="5">
                  <c:v>61556.25</c:v>
                </c:pt>
                <c:pt idx="6">
                  <c:v>61529</c:v>
                </c:pt>
                <c:pt idx="7">
                  <c:v>61497</c:v>
                </c:pt>
                <c:pt idx="8">
                  <c:v>61460.25</c:v>
                </c:pt>
                <c:pt idx="9">
                  <c:v>61418.75</c:v>
                </c:pt>
              </c:numCache>
            </c:numRef>
          </c:val>
          <c:extLst>
            <c:ext xmlns:c16="http://schemas.microsoft.com/office/drawing/2014/chart" uri="{C3380CC4-5D6E-409C-BE32-E72D297353CC}">
              <c16:uniqueId val="{00000001-CDB8-4500-88BD-661709D05C18}"/>
            </c:ext>
          </c:extLst>
        </c:ser>
        <c:ser>
          <c:idx val="3"/>
          <c:order val="3"/>
          <c:tx>
            <c:v>New Debt</c:v>
          </c:tx>
          <c:spPr>
            <a:solidFill>
              <a:schemeClr val="accent2"/>
            </a:solidFill>
          </c:spPr>
          <c:invertIfNegative val="0"/>
          <c:cat>
            <c:numRef>
              <c:f>Sum!$G$77:$P$77</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Sum!$G$164:$P$164</c:f>
              <c:numCache>
                <c:formatCode>_("$"* #,##0_);_("$"* \(#,##0\);_("$"* "-"??_);_(@_)</c:formatCode>
                <c:ptCount val="10"/>
                <c:pt idx="0">
                  <c:v>0</c:v>
                </c:pt>
                <c:pt idx="1">
                  <c:v>0</c:v>
                </c:pt>
                <c:pt idx="2">
                  <c:v>50204.117411980013</c:v>
                </c:pt>
                <c:pt idx="3">
                  <c:v>100408.23482396003</c:v>
                </c:pt>
                <c:pt idx="4">
                  <c:v>100408.23482396003</c:v>
                </c:pt>
                <c:pt idx="5">
                  <c:v>100408.23482396003</c:v>
                </c:pt>
                <c:pt idx="6">
                  <c:v>100408.23482396003</c:v>
                </c:pt>
                <c:pt idx="7">
                  <c:v>100408.23482396003</c:v>
                </c:pt>
                <c:pt idx="8">
                  <c:v>100408.23482396003</c:v>
                </c:pt>
                <c:pt idx="9">
                  <c:v>100408.23482396003</c:v>
                </c:pt>
              </c:numCache>
            </c:numRef>
          </c:val>
          <c:extLst>
            <c:ext xmlns:c16="http://schemas.microsoft.com/office/drawing/2014/chart" uri="{C3380CC4-5D6E-409C-BE32-E72D297353CC}">
              <c16:uniqueId val="{00000002-CDB8-4500-88BD-661709D05C18}"/>
            </c:ext>
          </c:extLst>
        </c:ser>
        <c:ser>
          <c:idx val="4"/>
          <c:order val="4"/>
          <c:tx>
            <c:v>Operating Capital</c:v>
          </c:tx>
          <c:spPr>
            <a:solidFill>
              <a:schemeClr val="accent3"/>
            </a:solidFill>
          </c:spPr>
          <c:invertIfNegative val="0"/>
          <c:cat>
            <c:numRef>
              <c:f>Sum!$G$77:$P$77</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Sum!$G$161:$P$161</c:f>
              <c:numCache>
                <c:formatCode>_("$"* #,##0_);_("$"* \(#,##0\);_("$"*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CDB8-4500-88BD-661709D05C18}"/>
            </c:ext>
          </c:extLst>
        </c:ser>
        <c:ser>
          <c:idx val="5"/>
          <c:order val="5"/>
          <c:tx>
            <c:v>Cash Funded Capital</c:v>
          </c:tx>
          <c:invertIfNegative val="0"/>
          <c:val>
            <c:numRef>
              <c:f>Sum!$G$168:$P$168</c:f>
              <c:numCache>
                <c:formatCode>_("$"* #,##0_);_("$"* \(#,##0\);_("$"* "-"??_);_(@_)</c:formatCode>
                <c:ptCount val="10"/>
                <c:pt idx="0">
                  <c:v>73562.621518</c:v>
                </c:pt>
                <c:pt idx="1">
                  <c:v>1498562.621518</c:v>
                </c:pt>
                <c:pt idx="2">
                  <c:v>448562.62151800003</c:v>
                </c:pt>
                <c:pt idx="3">
                  <c:v>748562.62151800003</c:v>
                </c:pt>
                <c:pt idx="4">
                  <c:v>98562.621518</c:v>
                </c:pt>
                <c:pt idx="5">
                  <c:v>98562.621518</c:v>
                </c:pt>
                <c:pt idx="6">
                  <c:v>98562.621518</c:v>
                </c:pt>
                <c:pt idx="7">
                  <c:v>98562.621518</c:v>
                </c:pt>
                <c:pt idx="8">
                  <c:v>98562.621518</c:v>
                </c:pt>
                <c:pt idx="9">
                  <c:v>98562.621518</c:v>
                </c:pt>
              </c:numCache>
            </c:numRef>
          </c:val>
          <c:extLst>
            <c:ext xmlns:c16="http://schemas.microsoft.com/office/drawing/2014/chart" uri="{C3380CC4-5D6E-409C-BE32-E72D297353CC}">
              <c16:uniqueId val="{00000004-CDB8-4500-88BD-661709D05C18}"/>
            </c:ext>
          </c:extLst>
        </c:ser>
        <c:ser>
          <c:idx val="6"/>
          <c:order val="6"/>
          <c:tx>
            <c:v>Operating Transfers</c:v>
          </c:tx>
          <c:invertIfNegative val="0"/>
          <c:val>
            <c:numRef>
              <c:f>Sum!$G$167:$P$167</c:f>
              <c:numCache>
                <c:formatCode>_("$"* #,##0_);_("$"* \(#,##0\);_("$"*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5-CDB8-4500-88BD-661709D05C18}"/>
            </c:ext>
          </c:extLst>
        </c:ser>
        <c:dLbls>
          <c:showLegendKey val="0"/>
          <c:showVal val="0"/>
          <c:showCatName val="0"/>
          <c:showSerName val="0"/>
          <c:showPercent val="0"/>
          <c:showBubbleSize val="0"/>
        </c:dLbls>
        <c:gapWidth val="150"/>
        <c:overlap val="100"/>
        <c:axId val="485439328"/>
        <c:axId val="485440112"/>
      </c:barChart>
      <c:lineChart>
        <c:grouping val="standard"/>
        <c:varyColors val="0"/>
        <c:ser>
          <c:idx val="0"/>
          <c:order val="0"/>
          <c:tx>
            <c:v>Total Revenue</c:v>
          </c:tx>
          <c:spPr>
            <a:ln>
              <a:solidFill>
                <a:sysClr val="windowText" lastClr="000000"/>
              </a:solidFill>
              <a:prstDash val="sysDash"/>
            </a:ln>
          </c:spPr>
          <c:marker>
            <c:symbol val="none"/>
          </c:marker>
          <c:cat>
            <c:numRef>
              <c:f>Sum!$G$77:$P$77</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Sum!$G$157:$P$157</c:f>
              <c:numCache>
                <c:formatCode>_("$"* #,##0_);_("$"* \(#,##0\);_("$"* "-"??_);_(@_)</c:formatCode>
                <c:ptCount val="10"/>
                <c:pt idx="0">
                  <c:v>3739752.3259000001</c:v>
                </c:pt>
                <c:pt idx="1">
                  <c:v>4755820.0820033327</c:v>
                </c:pt>
                <c:pt idx="2">
                  <c:v>4755811.8320033327</c:v>
                </c:pt>
                <c:pt idx="3">
                  <c:v>4755798.8320033327</c:v>
                </c:pt>
                <c:pt idx="4">
                  <c:v>4755781.0820033327</c:v>
                </c:pt>
                <c:pt idx="5">
                  <c:v>4755758.5820033327</c:v>
                </c:pt>
                <c:pt idx="6">
                  <c:v>4755731.3320033327</c:v>
                </c:pt>
                <c:pt idx="7">
                  <c:v>4755699.3320033327</c:v>
                </c:pt>
                <c:pt idx="8">
                  <c:v>4755662.5820033327</c:v>
                </c:pt>
                <c:pt idx="9">
                  <c:v>4755621.0820033327</c:v>
                </c:pt>
              </c:numCache>
            </c:numRef>
          </c:val>
          <c:smooth val="0"/>
          <c:extLst>
            <c:ext xmlns:c16="http://schemas.microsoft.com/office/drawing/2014/chart" uri="{C3380CC4-5D6E-409C-BE32-E72D297353CC}">
              <c16:uniqueId val="{00000006-CDB8-4500-88BD-661709D05C18}"/>
            </c:ext>
          </c:extLst>
        </c:ser>
        <c:dLbls>
          <c:showLegendKey val="0"/>
          <c:showVal val="0"/>
          <c:showCatName val="0"/>
          <c:showSerName val="0"/>
          <c:showPercent val="0"/>
          <c:showBubbleSize val="0"/>
        </c:dLbls>
        <c:marker val="1"/>
        <c:smooth val="0"/>
        <c:axId val="485439328"/>
        <c:axId val="485440112"/>
      </c:lineChart>
      <c:catAx>
        <c:axId val="485439328"/>
        <c:scaling>
          <c:orientation val="minMax"/>
        </c:scaling>
        <c:delete val="0"/>
        <c:axPos val="b"/>
        <c:numFmt formatCode="0" sourceLinked="1"/>
        <c:majorTickMark val="out"/>
        <c:minorTickMark val="none"/>
        <c:tickLblPos val="nextTo"/>
        <c:txPr>
          <a:bodyPr/>
          <a:lstStyle/>
          <a:p>
            <a:pPr>
              <a:defRPr sz="1100" b="1">
                <a:solidFill>
                  <a:schemeClr val="tx2"/>
                </a:solidFill>
              </a:defRPr>
            </a:pPr>
            <a:endParaRPr lang="en-US"/>
          </a:p>
        </c:txPr>
        <c:crossAx val="485440112"/>
        <c:crosses val="autoZero"/>
        <c:auto val="1"/>
        <c:lblAlgn val="ctr"/>
        <c:lblOffset val="100"/>
        <c:noMultiLvlLbl val="0"/>
      </c:catAx>
      <c:valAx>
        <c:axId val="485440112"/>
        <c:scaling>
          <c:orientation val="minMax"/>
        </c:scaling>
        <c:delete val="0"/>
        <c:axPos val="l"/>
        <c:majorGridlines/>
        <c:numFmt formatCode="_(&quot;$&quot;* #,##0_);_(&quot;$&quot;* \(#,##0\);_(&quot;$&quot;* &quot;-&quot;??_);_(@_)" sourceLinked="1"/>
        <c:majorTickMark val="out"/>
        <c:minorTickMark val="none"/>
        <c:tickLblPos val="nextTo"/>
        <c:txPr>
          <a:bodyPr/>
          <a:lstStyle/>
          <a:p>
            <a:pPr>
              <a:defRPr sz="1100" b="1">
                <a:solidFill>
                  <a:schemeClr val="tx2"/>
                </a:solidFill>
              </a:defRPr>
            </a:pPr>
            <a:endParaRPr lang="en-US"/>
          </a:p>
        </c:txPr>
        <c:crossAx val="485439328"/>
        <c:crosses val="autoZero"/>
        <c:crossBetween val="between"/>
      </c:valAx>
    </c:plotArea>
    <c:legend>
      <c:legendPos val="b"/>
      <c:overlay val="0"/>
      <c:txPr>
        <a:bodyPr/>
        <a:lstStyle/>
        <a:p>
          <a:pPr>
            <a:defRPr sz="1100" b="1">
              <a:solidFill>
                <a:schemeClr val="tx2"/>
              </a:solidFill>
            </a:defRPr>
          </a:pPr>
          <a:endParaRPr lang="en-US"/>
        </a:p>
      </c:txPr>
    </c:legend>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a:solidFill>
                  <a:schemeClr val="accent2"/>
                </a:solidFill>
              </a:defRPr>
            </a:pPr>
            <a:r>
              <a:rPr lang="en-US"/>
              <a:t>Water Sales Revenue by Customer Class</a:t>
            </a:r>
          </a:p>
        </c:rich>
      </c:tx>
      <c:overlay val="0"/>
    </c:title>
    <c:autoTitleDeleted val="0"/>
    <c:plotArea>
      <c:layout/>
      <c:areaChart>
        <c:grouping val="stacked"/>
        <c:varyColors val="0"/>
        <c:ser>
          <c:idx val="0"/>
          <c:order val="0"/>
          <c:tx>
            <c:v>Residential</c:v>
          </c:tx>
          <c:spPr>
            <a:solidFill>
              <a:schemeClr val="accent4"/>
            </a:solidFill>
            <a:ln>
              <a:solidFill>
                <a:sysClr val="windowText" lastClr="000000"/>
              </a:solidFill>
              <a:prstDash val="sysDash"/>
            </a:ln>
          </c:spPr>
          <c:cat>
            <c:numRef>
              <c:f>'W-Rev'!$G$5:$P$5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'W-Rev'!$S$10:$W$10</c:f>
              <c:numCache>
                <c:formatCode>_("$"* #,##0_);_("$"* \(#,##0\);_("$"* "-"??_);_(@_)</c:formatCode>
                <c:ptCount val="5"/>
              </c:numCache>
            </c:numRef>
          </c:val>
          <c:extLst>
            <c:ext xmlns:c16="http://schemas.microsoft.com/office/drawing/2014/chart" uri="{C3380CC4-5D6E-409C-BE32-E72D297353CC}">
              <c16:uniqueId val="{00000000-221D-446C-963F-F9FB6A4ABC41}"/>
            </c:ext>
          </c:extLst>
        </c:ser>
        <c:ser>
          <c:idx val="1"/>
          <c:order val="1"/>
          <c:tx>
            <c:v>Non-Residential</c:v>
          </c:tx>
          <c:cat>
            <c:numRef>
              <c:f>'W-Rev'!$G$5:$P$5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'W-Rev'!$S$11:$W$11</c:f>
              <c:numCache>
                <c:formatCode>_("$"* #,##0_);_("$"* \(#,##0\);_("$"* "-"??_);_(@_)</c:formatCode>
                <c:ptCount val="5"/>
              </c:numCache>
            </c:numRef>
          </c:val>
          <c:extLst>
            <c:ext xmlns:c16="http://schemas.microsoft.com/office/drawing/2014/chart" uri="{C3380CC4-5D6E-409C-BE32-E72D297353CC}">
              <c16:uniqueId val="{00000001-221D-446C-963F-F9FB6A4ABC41}"/>
            </c:ext>
          </c:extLst>
        </c:ser>
        <c:ser>
          <c:idx val="2"/>
          <c:order val="2"/>
          <c:tx>
            <c:v>Irrigation</c:v>
          </c:tx>
          <c:cat>
            <c:numRef>
              <c:f>'W-Rev'!$G$5:$P$5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'W-Rev'!$S$12:$W$12</c:f>
              <c:numCache>
                <c:formatCode>_("$"* #,##0_);_("$"* \(#,##0\);_("$"* "-"??_);_(@_)</c:formatCode>
                <c:ptCount val="5"/>
              </c:numCache>
            </c:numRef>
          </c:val>
          <c:extLst>
            <c:ext xmlns:c16="http://schemas.microsoft.com/office/drawing/2014/chart" uri="{C3380CC4-5D6E-409C-BE32-E72D297353CC}">
              <c16:uniqueId val="{00000002-221D-446C-963F-F9FB6A4ABC41}"/>
            </c:ext>
          </c:extLst>
        </c:ser>
        <c:ser>
          <c:idx val="3"/>
          <c:order val="3"/>
          <c:tx>
            <c:v>Placeholder</c:v>
          </c:tx>
          <c:cat>
            <c:numRef>
              <c:f>'W-Rev'!$G$5:$P$5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'W-Rev'!$S$13:$W$13</c:f>
              <c:numCache>
                <c:formatCode>_("$"* #,##0_);_("$"* \(#,##0\);_("$"* "-"??_);_(@_)</c:formatCode>
                <c:ptCount val="5"/>
              </c:numCache>
            </c:numRef>
          </c:val>
          <c:extLst>
            <c:ext xmlns:c16="http://schemas.microsoft.com/office/drawing/2014/chart" uri="{C3380CC4-5D6E-409C-BE32-E72D297353CC}">
              <c16:uniqueId val="{00000003-221D-446C-963F-F9FB6A4ABC41}"/>
            </c:ext>
          </c:extLst>
        </c:ser>
        <c:dLbls>
          <c:showLegendKey val="0"/>
          <c:showVal val="0"/>
          <c:showCatName val="0"/>
          <c:showSerName val="0"/>
          <c:showPercent val="0"/>
          <c:showBubbleSize val="0"/>
        </c:dLbls>
        <c:axId val="485434624"/>
        <c:axId val="485436584"/>
      </c:areaChart>
      <c:catAx>
        <c:axId val="485434624"/>
        <c:scaling>
          <c:orientation val="minMax"/>
        </c:scaling>
        <c:delete val="0"/>
        <c:axPos val="b"/>
        <c:numFmt formatCode="0" sourceLinked="1"/>
        <c:majorTickMark val="out"/>
        <c:minorTickMark val="none"/>
        <c:tickLblPos val="nextTo"/>
        <c:txPr>
          <a:bodyPr/>
          <a:lstStyle/>
          <a:p>
            <a:pPr>
              <a:defRPr sz="1100" b="1">
                <a:solidFill>
                  <a:schemeClr val="tx2"/>
                </a:solidFill>
              </a:defRPr>
            </a:pPr>
            <a:endParaRPr lang="en-US"/>
          </a:p>
        </c:txPr>
        <c:crossAx val="485436584"/>
        <c:crosses val="autoZero"/>
        <c:auto val="1"/>
        <c:lblAlgn val="ctr"/>
        <c:lblOffset val="100"/>
        <c:noMultiLvlLbl val="0"/>
      </c:catAx>
      <c:valAx>
        <c:axId val="485436584"/>
        <c:scaling>
          <c:orientation val="minMax"/>
        </c:scaling>
        <c:delete val="0"/>
        <c:axPos val="l"/>
        <c:majorGridlines/>
        <c:numFmt formatCode="_(&quot;$&quot;* #,##0_);_(&quot;$&quot;* \(#,##0\);_(&quot;$&quot;* &quot;-&quot;??_);_(@_)" sourceLinked="1"/>
        <c:majorTickMark val="out"/>
        <c:minorTickMark val="none"/>
        <c:tickLblPos val="nextTo"/>
        <c:txPr>
          <a:bodyPr/>
          <a:lstStyle/>
          <a:p>
            <a:pPr>
              <a:defRPr sz="1100" b="1">
                <a:solidFill>
                  <a:schemeClr val="tx2"/>
                </a:solidFill>
              </a:defRPr>
            </a:pPr>
            <a:endParaRPr lang="en-US"/>
          </a:p>
        </c:txPr>
        <c:crossAx val="485434624"/>
        <c:crosses val="autoZero"/>
        <c:crossBetween val="midCat"/>
      </c:valAx>
    </c:plotArea>
    <c:legend>
      <c:legendPos val="b"/>
      <c:overlay val="0"/>
      <c:txPr>
        <a:bodyPr/>
        <a:lstStyle/>
        <a:p>
          <a:pPr>
            <a:defRPr sz="1100" b="1">
              <a:solidFill>
                <a:schemeClr val="tx2"/>
              </a:solidFill>
            </a:defRPr>
          </a:pPr>
          <a:endParaRPr lang="en-US"/>
        </a:p>
      </c:txPr>
    </c:legend>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a:solidFill>
                  <a:schemeClr val="accent2"/>
                </a:solidFill>
              </a:defRPr>
            </a:pPr>
            <a:r>
              <a:rPr lang="en-US"/>
              <a:t>Wastewater Sales Revenue by Customer Class</a:t>
            </a:r>
          </a:p>
        </c:rich>
      </c:tx>
      <c:overlay val="0"/>
    </c:title>
    <c:autoTitleDeleted val="0"/>
    <c:plotArea>
      <c:layout/>
      <c:areaChart>
        <c:grouping val="stacked"/>
        <c:varyColors val="0"/>
        <c:ser>
          <c:idx val="0"/>
          <c:order val="0"/>
          <c:tx>
            <c:v>Residential</c:v>
          </c:tx>
          <c:spPr>
            <a:solidFill>
              <a:schemeClr val="accent4"/>
            </a:solidFill>
            <a:ln>
              <a:solidFill>
                <a:sysClr val="windowText" lastClr="000000"/>
              </a:solidFill>
              <a:prstDash val="sysDash"/>
            </a:ln>
          </c:spPr>
          <c:cat>
            <c:numRef>
              <c:f>'WW-Rev'!$G$5:$P$5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'WW-Rev'!$S$10:$W$10</c:f>
              <c:numCache>
                <c:formatCode>_("$"* #,##0_);_("$"* \(#,##0\);_("$"* "-"??_);_(@_)</c:formatCode>
                <c:ptCount val="5"/>
              </c:numCache>
            </c:numRef>
          </c:val>
          <c:extLst>
            <c:ext xmlns:c16="http://schemas.microsoft.com/office/drawing/2014/chart" uri="{C3380CC4-5D6E-409C-BE32-E72D297353CC}">
              <c16:uniqueId val="{00000000-B512-4186-B843-ED9AE5A1930F}"/>
            </c:ext>
          </c:extLst>
        </c:ser>
        <c:ser>
          <c:idx val="4"/>
          <c:order val="1"/>
          <c:tx>
            <c:v>Non-Residential</c:v>
          </c:tx>
          <c:cat>
            <c:numRef>
              <c:f>'WW-Rev'!$G$5:$P$5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'WW-Rev'!$S$11:$W$11</c:f>
              <c:numCache>
                <c:formatCode>_("$"* #,##0_);_("$"* \(#,##0\);_("$"* "-"??_);_(@_)</c:formatCode>
                <c:ptCount val="5"/>
              </c:numCache>
            </c:numRef>
          </c:val>
          <c:extLst>
            <c:ext xmlns:c16="http://schemas.microsoft.com/office/drawing/2014/chart" uri="{C3380CC4-5D6E-409C-BE32-E72D297353CC}">
              <c16:uniqueId val="{00000001-B512-4186-B843-ED9AE5A1930F}"/>
            </c:ext>
          </c:extLst>
        </c:ser>
        <c:ser>
          <c:idx val="3"/>
          <c:order val="2"/>
          <c:tx>
            <c:v>Placeholder</c:v>
          </c:tx>
          <c:cat>
            <c:numRef>
              <c:f>'WW-Rev'!$G$5:$P$5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'WW-Rev'!$S$12:$W$12</c:f>
              <c:numCache>
                <c:formatCode>_("$"* #,##0_);_("$"* \(#,##0\);_("$"* "-"??_);_(@_)</c:formatCode>
                <c:ptCount val="5"/>
              </c:numCache>
            </c:numRef>
          </c:val>
          <c:extLst>
            <c:ext xmlns:c16="http://schemas.microsoft.com/office/drawing/2014/chart" uri="{C3380CC4-5D6E-409C-BE32-E72D297353CC}">
              <c16:uniqueId val="{00000002-B512-4186-B843-ED9AE5A1930F}"/>
            </c:ext>
          </c:extLst>
        </c:ser>
        <c:dLbls>
          <c:showLegendKey val="0"/>
          <c:showVal val="0"/>
          <c:showCatName val="0"/>
          <c:showSerName val="0"/>
          <c:showPercent val="0"/>
          <c:showBubbleSize val="0"/>
        </c:dLbls>
        <c:axId val="485437368"/>
        <c:axId val="632168600"/>
      </c:areaChart>
      <c:catAx>
        <c:axId val="485437368"/>
        <c:scaling>
          <c:orientation val="minMax"/>
        </c:scaling>
        <c:delete val="0"/>
        <c:axPos val="b"/>
        <c:numFmt formatCode="0" sourceLinked="1"/>
        <c:majorTickMark val="out"/>
        <c:minorTickMark val="none"/>
        <c:tickLblPos val="nextTo"/>
        <c:txPr>
          <a:bodyPr/>
          <a:lstStyle/>
          <a:p>
            <a:pPr>
              <a:defRPr sz="1100" b="1">
                <a:solidFill>
                  <a:schemeClr val="tx2"/>
                </a:solidFill>
              </a:defRPr>
            </a:pPr>
            <a:endParaRPr lang="en-US"/>
          </a:p>
        </c:txPr>
        <c:crossAx val="632168600"/>
        <c:crosses val="autoZero"/>
        <c:auto val="1"/>
        <c:lblAlgn val="ctr"/>
        <c:lblOffset val="100"/>
        <c:noMultiLvlLbl val="0"/>
      </c:catAx>
      <c:valAx>
        <c:axId val="632168600"/>
        <c:scaling>
          <c:orientation val="minMax"/>
        </c:scaling>
        <c:delete val="0"/>
        <c:axPos val="l"/>
        <c:majorGridlines/>
        <c:numFmt formatCode="_(&quot;$&quot;* #,##0_);_(&quot;$&quot;* \(#,##0\);_(&quot;$&quot;* &quot;-&quot;??_);_(@_)" sourceLinked="1"/>
        <c:majorTickMark val="out"/>
        <c:minorTickMark val="none"/>
        <c:tickLblPos val="nextTo"/>
        <c:txPr>
          <a:bodyPr/>
          <a:lstStyle/>
          <a:p>
            <a:pPr>
              <a:defRPr sz="1100" b="1">
                <a:solidFill>
                  <a:schemeClr val="tx2"/>
                </a:solidFill>
              </a:defRPr>
            </a:pPr>
            <a:endParaRPr lang="en-US"/>
          </a:p>
        </c:txPr>
        <c:crossAx val="485437368"/>
        <c:crosses val="autoZero"/>
        <c:crossBetween val="midCat"/>
      </c:valAx>
    </c:plotArea>
    <c:legend>
      <c:legendPos val="b"/>
      <c:overlay val="0"/>
      <c:txPr>
        <a:bodyPr/>
        <a:lstStyle/>
        <a:p>
          <a:pPr>
            <a:defRPr sz="1100" b="1">
              <a:solidFill>
                <a:schemeClr val="tx2"/>
              </a:solidFill>
            </a:defRPr>
          </a:pPr>
          <a:endParaRPr lang="en-US"/>
        </a:p>
      </c:txPr>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a:solidFill>
                  <a:schemeClr val="accent2"/>
                </a:solidFill>
              </a:defRPr>
            </a:pPr>
            <a:r>
              <a:rPr lang="en-US"/>
              <a:t>Utility</a:t>
            </a:r>
            <a:r>
              <a:rPr lang="en-US" baseline="0"/>
              <a:t> Fund</a:t>
            </a:r>
            <a:r>
              <a:rPr lang="en-US"/>
              <a:t> Revenue Requirement Summary</a:t>
            </a:r>
          </a:p>
        </c:rich>
      </c:tx>
      <c:overlay val="0"/>
    </c:title>
    <c:autoTitleDeleted val="0"/>
    <c:plotArea>
      <c:layout/>
      <c:barChart>
        <c:barDir val="col"/>
        <c:grouping val="stacked"/>
        <c:varyColors val="0"/>
        <c:ser>
          <c:idx val="1"/>
          <c:order val="1"/>
          <c:tx>
            <c:v>O&amp;M Expenses</c:v>
          </c:tx>
          <c:spPr>
            <a:solidFill>
              <a:schemeClr val="tx2"/>
            </a:solidFill>
          </c:spPr>
          <c:invertIfNegative val="0"/>
          <c:cat>
            <c:numRef>
              <c:f>Sum!$G$77:$P$77</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Sum!$G$15:$P$15</c:f>
              <c:numCache>
                <c:formatCode>_("$"* #,##0_);_("$"* \(#,##0\);_("$"* "-"??_);_(@_)</c:formatCode>
                <c:ptCount val="10"/>
                <c:pt idx="0">
                  <c:v>5239100</c:v>
                </c:pt>
                <c:pt idx="1">
                  <c:v>5396273</c:v>
                </c:pt>
                <c:pt idx="2">
                  <c:v>5558161.1899999995</c:v>
                </c:pt>
                <c:pt idx="3">
                  <c:v>5724906.0257000001</c:v>
                </c:pt>
                <c:pt idx="4">
                  <c:v>5896653.2064709999</c:v>
                </c:pt>
                <c:pt idx="5">
                  <c:v>6073552.8026651302</c:v>
                </c:pt>
                <c:pt idx="6">
                  <c:v>6255759.386745085</c:v>
                </c:pt>
                <c:pt idx="7">
                  <c:v>6443432.1683474379</c:v>
                </c:pt>
                <c:pt idx="8">
                  <c:v>6636735.1333978605</c:v>
                </c:pt>
                <c:pt idx="9">
                  <c:v>6835837.1873997971</c:v>
                </c:pt>
              </c:numCache>
            </c:numRef>
          </c:val>
          <c:extLst>
            <c:ext xmlns:c16="http://schemas.microsoft.com/office/drawing/2014/chart" uri="{C3380CC4-5D6E-409C-BE32-E72D297353CC}">
              <c16:uniqueId val="{00000000-E28E-4806-B688-433851DCB078}"/>
            </c:ext>
          </c:extLst>
        </c:ser>
        <c:ser>
          <c:idx val="2"/>
          <c:order val="2"/>
          <c:tx>
            <c:v>Existing Debt</c:v>
          </c:tx>
          <c:spPr>
            <a:solidFill>
              <a:schemeClr val="accent1"/>
            </a:solidFill>
          </c:spPr>
          <c:invertIfNegative val="0"/>
          <c:cat>
            <c:numRef>
              <c:f>Sum!$G$77:$P$77</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Sum!$G$18:$P$18</c:f>
              <c:numCache>
                <c:formatCode>_("$"* #,##0_);_("$"* \(#,##0\);_("$"* "-"??_);_(@_)</c:formatCode>
                <c:ptCount val="10"/>
                <c:pt idx="0">
                  <c:v>123242.5</c:v>
                </c:pt>
                <c:pt idx="1">
                  <c:v>123235.5</c:v>
                </c:pt>
                <c:pt idx="2">
                  <c:v>123219</c:v>
                </c:pt>
                <c:pt idx="3">
                  <c:v>123193</c:v>
                </c:pt>
                <c:pt idx="4">
                  <c:v>123157.5</c:v>
                </c:pt>
                <c:pt idx="5">
                  <c:v>123112.5</c:v>
                </c:pt>
                <c:pt idx="6">
                  <c:v>123058</c:v>
                </c:pt>
                <c:pt idx="7">
                  <c:v>122994</c:v>
                </c:pt>
                <c:pt idx="8">
                  <c:v>122920.5</c:v>
                </c:pt>
                <c:pt idx="9">
                  <c:v>122837.5</c:v>
                </c:pt>
              </c:numCache>
            </c:numRef>
          </c:val>
          <c:extLst>
            <c:ext xmlns:c16="http://schemas.microsoft.com/office/drawing/2014/chart" uri="{C3380CC4-5D6E-409C-BE32-E72D297353CC}">
              <c16:uniqueId val="{00000001-E28E-4806-B688-433851DCB078}"/>
            </c:ext>
          </c:extLst>
        </c:ser>
        <c:ser>
          <c:idx val="3"/>
          <c:order val="3"/>
          <c:tx>
            <c:v>New Debt</c:v>
          </c:tx>
          <c:spPr>
            <a:solidFill>
              <a:schemeClr val="accent2"/>
            </a:solidFill>
          </c:spPr>
          <c:invertIfNegative val="0"/>
          <c:cat>
            <c:numRef>
              <c:f>Sum!$G$77:$P$77</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Sum!$G$19:$P$19</c:f>
              <c:numCache>
                <c:formatCode>_("$"* #,##0_);_("$"* \(#,##0\);_("$"* "-"??_);_(@_)</c:formatCode>
                <c:ptCount val="10"/>
                <c:pt idx="0">
                  <c:v>0</c:v>
                </c:pt>
                <c:pt idx="1">
                  <c:v>0</c:v>
                </c:pt>
                <c:pt idx="2">
                  <c:v>50204.117411980013</c:v>
                </c:pt>
                <c:pt idx="3">
                  <c:v>100408.23482396003</c:v>
                </c:pt>
                <c:pt idx="4">
                  <c:v>100408.23482396003</c:v>
                </c:pt>
                <c:pt idx="5">
                  <c:v>100408.23482396003</c:v>
                </c:pt>
                <c:pt idx="6">
                  <c:v>100408.23482396003</c:v>
                </c:pt>
                <c:pt idx="7">
                  <c:v>100408.23482396003</c:v>
                </c:pt>
                <c:pt idx="8">
                  <c:v>100408.23482396003</c:v>
                </c:pt>
                <c:pt idx="9">
                  <c:v>100408.23482396003</c:v>
                </c:pt>
              </c:numCache>
            </c:numRef>
          </c:val>
          <c:extLst>
            <c:ext xmlns:c16="http://schemas.microsoft.com/office/drawing/2014/chart" uri="{C3380CC4-5D6E-409C-BE32-E72D297353CC}">
              <c16:uniqueId val="{00000002-E28E-4806-B688-433851DCB078}"/>
            </c:ext>
          </c:extLst>
        </c:ser>
        <c:ser>
          <c:idx val="4"/>
          <c:order val="4"/>
          <c:tx>
            <c:v>Operating Capital</c:v>
          </c:tx>
          <c:spPr>
            <a:solidFill>
              <a:schemeClr val="accent3"/>
            </a:solidFill>
          </c:spPr>
          <c:invertIfNegative val="0"/>
          <c:cat>
            <c:numRef>
              <c:f>Sum!$G$77:$P$77</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Sum!$G$16:$P$16</c:f>
              <c:numCache>
                <c:formatCode>_("$"* #,##0_);_("$"* \(#,##0\);_("$"*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E28E-4806-B688-433851DCB078}"/>
            </c:ext>
          </c:extLst>
        </c:ser>
        <c:ser>
          <c:idx val="5"/>
          <c:order val="5"/>
          <c:tx>
            <c:v>Cash Funded Capital</c:v>
          </c:tx>
          <c:invertIfNegative val="0"/>
          <c:val>
            <c:numRef>
              <c:f>Sum!$G$23:$P$23</c:f>
              <c:numCache>
                <c:formatCode>_("$"* #,##0_);_("$"* \(#,##0\);_("$"* "-"??_);_(@_)</c:formatCode>
                <c:ptCount val="10"/>
                <c:pt idx="0">
                  <c:v>128999.14186382</c:v>
                </c:pt>
                <c:pt idx="1">
                  <c:v>1578999.1418638201</c:v>
                </c:pt>
                <c:pt idx="2">
                  <c:v>528999.14186382003</c:v>
                </c:pt>
                <c:pt idx="3">
                  <c:v>828999.14186382003</c:v>
                </c:pt>
                <c:pt idx="4">
                  <c:v>178999.14186382</c:v>
                </c:pt>
                <c:pt idx="5">
                  <c:v>178999.14186382</c:v>
                </c:pt>
                <c:pt idx="6">
                  <c:v>178999.14186382</c:v>
                </c:pt>
                <c:pt idx="7">
                  <c:v>178999.14186382</c:v>
                </c:pt>
                <c:pt idx="8">
                  <c:v>178999.14186382</c:v>
                </c:pt>
                <c:pt idx="9">
                  <c:v>178999.14186382</c:v>
                </c:pt>
              </c:numCache>
            </c:numRef>
          </c:val>
          <c:extLst>
            <c:ext xmlns:c16="http://schemas.microsoft.com/office/drawing/2014/chart" uri="{C3380CC4-5D6E-409C-BE32-E72D297353CC}">
              <c16:uniqueId val="{00000004-E28E-4806-B688-433851DCB078}"/>
            </c:ext>
          </c:extLst>
        </c:ser>
        <c:ser>
          <c:idx val="6"/>
          <c:order val="6"/>
          <c:tx>
            <c:v>Operating Transfers</c:v>
          </c:tx>
          <c:invertIfNegative val="0"/>
          <c:val>
            <c:numRef>
              <c:f>Sum!$G$22:$P$22</c:f>
              <c:numCache>
                <c:formatCode>_("$"* #,##0_);_("$"* \(#,##0\);_("$"* "-"??_);_(@_)</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5-E28E-4806-B688-433851DCB078}"/>
            </c:ext>
          </c:extLst>
        </c:ser>
        <c:dLbls>
          <c:showLegendKey val="0"/>
          <c:showVal val="0"/>
          <c:showCatName val="0"/>
          <c:showSerName val="0"/>
          <c:showPercent val="0"/>
          <c:showBubbleSize val="0"/>
        </c:dLbls>
        <c:gapWidth val="150"/>
        <c:overlap val="100"/>
        <c:axId val="632170168"/>
        <c:axId val="632166248"/>
      </c:barChart>
      <c:lineChart>
        <c:grouping val="standard"/>
        <c:varyColors val="0"/>
        <c:ser>
          <c:idx val="0"/>
          <c:order val="0"/>
          <c:tx>
            <c:v>Total Revenue</c:v>
          </c:tx>
          <c:spPr>
            <a:ln>
              <a:solidFill>
                <a:sysClr val="windowText" lastClr="000000"/>
              </a:solidFill>
              <a:prstDash val="sysDash"/>
            </a:ln>
          </c:spPr>
          <c:marker>
            <c:symbol val="none"/>
          </c:marker>
          <c:cat>
            <c:numRef>
              <c:f>Sum!$G$77:$P$77</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Sum!$G$12:$P$12</c:f>
              <c:numCache>
                <c:formatCode>_("$"* #,##0_);_("$"* \(#,##0\);_("$"* "-"??_);_(@_)</c:formatCode>
                <c:ptCount val="10"/>
                <c:pt idx="0">
                  <c:v>6573199.5931909997</c:v>
                </c:pt>
                <c:pt idx="1">
                  <c:v>7830080.7619263325</c:v>
                </c:pt>
                <c:pt idx="2">
                  <c:v>7908643.4428308327</c:v>
                </c:pt>
                <c:pt idx="3">
                  <c:v>7987954.7989750784</c:v>
                </c:pt>
                <c:pt idx="4">
                  <c:v>8068037.5756162601</c:v>
                </c:pt>
                <c:pt idx="5">
                  <c:v>8148915.2003692882</c:v>
                </c:pt>
                <c:pt idx="6">
                  <c:v>8236534.7673345171</c:v>
                </c:pt>
                <c:pt idx="7">
                  <c:v>8324998.1672116015</c:v>
                </c:pt>
                <c:pt idx="8">
                  <c:v>8414330.9999879003</c:v>
                </c:pt>
                <c:pt idx="9">
                  <c:v>8510482.5973073877</c:v>
                </c:pt>
              </c:numCache>
            </c:numRef>
          </c:val>
          <c:smooth val="0"/>
          <c:extLst>
            <c:ext xmlns:c16="http://schemas.microsoft.com/office/drawing/2014/chart" uri="{C3380CC4-5D6E-409C-BE32-E72D297353CC}">
              <c16:uniqueId val="{00000006-E28E-4806-B688-433851DCB078}"/>
            </c:ext>
          </c:extLst>
        </c:ser>
        <c:dLbls>
          <c:showLegendKey val="0"/>
          <c:showVal val="0"/>
          <c:showCatName val="0"/>
          <c:showSerName val="0"/>
          <c:showPercent val="0"/>
          <c:showBubbleSize val="0"/>
        </c:dLbls>
        <c:marker val="1"/>
        <c:smooth val="0"/>
        <c:axId val="632170168"/>
        <c:axId val="632166248"/>
      </c:lineChart>
      <c:catAx>
        <c:axId val="632170168"/>
        <c:scaling>
          <c:orientation val="minMax"/>
        </c:scaling>
        <c:delete val="0"/>
        <c:axPos val="b"/>
        <c:numFmt formatCode="0" sourceLinked="1"/>
        <c:majorTickMark val="out"/>
        <c:minorTickMark val="none"/>
        <c:tickLblPos val="nextTo"/>
        <c:txPr>
          <a:bodyPr/>
          <a:lstStyle/>
          <a:p>
            <a:pPr>
              <a:defRPr sz="1100" b="1">
                <a:solidFill>
                  <a:schemeClr val="tx2"/>
                </a:solidFill>
              </a:defRPr>
            </a:pPr>
            <a:endParaRPr lang="en-US"/>
          </a:p>
        </c:txPr>
        <c:crossAx val="632166248"/>
        <c:crosses val="autoZero"/>
        <c:auto val="1"/>
        <c:lblAlgn val="ctr"/>
        <c:lblOffset val="100"/>
        <c:noMultiLvlLbl val="0"/>
      </c:catAx>
      <c:valAx>
        <c:axId val="632166248"/>
        <c:scaling>
          <c:orientation val="minMax"/>
        </c:scaling>
        <c:delete val="0"/>
        <c:axPos val="l"/>
        <c:majorGridlines/>
        <c:numFmt formatCode="_(&quot;$&quot;* #,##0_);_(&quot;$&quot;* \(#,##0\);_(&quot;$&quot;* &quot;-&quot;??_);_(@_)" sourceLinked="1"/>
        <c:majorTickMark val="out"/>
        <c:minorTickMark val="none"/>
        <c:tickLblPos val="nextTo"/>
        <c:txPr>
          <a:bodyPr/>
          <a:lstStyle/>
          <a:p>
            <a:pPr>
              <a:defRPr sz="1100" b="1">
                <a:solidFill>
                  <a:schemeClr val="tx2"/>
                </a:solidFill>
              </a:defRPr>
            </a:pPr>
            <a:endParaRPr lang="en-US"/>
          </a:p>
        </c:txPr>
        <c:crossAx val="632170168"/>
        <c:crosses val="autoZero"/>
        <c:crossBetween val="between"/>
      </c:valAx>
    </c:plotArea>
    <c:legend>
      <c:legendPos val="b"/>
      <c:overlay val="0"/>
      <c:txPr>
        <a:bodyPr/>
        <a:lstStyle/>
        <a:p>
          <a:pPr>
            <a:defRPr sz="1100" b="1">
              <a:solidFill>
                <a:schemeClr val="tx2"/>
              </a:solidFill>
            </a:defRPr>
          </a:pPr>
          <a:endParaRPr lang="en-US"/>
        </a:p>
      </c:txPr>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a:solidFill>
                  <a:schemeClr val="accent2"/>
                </a:solidFill>
              </a:defRPr>
            </a:pPr>
            <a:r>
              <a:rPr lang="en-US" sz="1800">
                <a:solidFill>
                  <a:schemeClr val="accent2"/>
                </a:solidFill>
              </a:rPr>
              <a:t>Percent Operating Reserves</a:t>
            </a:r>
          </a:p>
        </c:rich>
      </c:tx>
      <c:overlay val="0"/>
    </c:title>
    <c:autoTitleDeleted val="0"/>
    <c:plotArea>
      <c:layout/>
      <c:lineChart>
        <c:grouping val="standard"/>
        <c:varyColors val="0"/>
        <c:ser>
          <c:idx val="0"/>
          <c:order val="0"/>
          <c:tx>
            <c:v>Target Operating Reserve</c:v>
          </c:tx>
          <c:spPr>
            <a:ln>
              <a:solidFill>
                <a:schemeClr val="accent2"/>
              </a:solidFill>
            </a:ln>
          </c:spPr>
          <c:marker>
            <c:symbol val="none"/>
          </c:marker>
          <c:cat>
            <c:numRef>
              <c:f>Sum!$G$5:$P$5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Sum!$G$38:$P$38</c:f>
              <c:numCache>
                <c:formatCode>0%</c:formatCode>
                <c:ptCount val="10"/>
                <c:pt idx="0">
                  <c:v>0.5</c:v>
                </c:pt>
                <c:pt idx="1">
                  <c:v>0.5</c:v>
                </c:pt>
                <c:pt idx="2">
                  <c:v>0.5</c:v>
                </c:pt>
                <c:pt idx="3">
                  <c:v>0.5</c:v>
                </c:pt>
                <c:pt idx="4">
                  <c:v>0.5</c:v>
                </c:pt>
                <c:pt idx="5">
                  <c:v>0.5</c:v>
                </c:pt>
                <c:pt idx="6">
                  <c:v>0.5</c:v>
                </c:pt>
                <c:pt idx="7">
                  <c:v>0.5</c:v>
                </c:pt>
                <c:pt idx="8">
                  <c:v>0.5</c:v>
                </c:pt>
                <c:pt idx="9">
                  <c:v>0.5</c:v>
                </c:pt>
              </c:numCache>
            </c:numRef>
          </c:val>
          <c:smooth val="0"/>
          <c:extLst>
            <c:ext xmlns:c16="http://schemas.microsoft.com/office/drawing/2014/chart" uri="{C3380CC4-5D6E-409C-BE32-E72D297353CC}">
              <c16:uniqueId val="{00000000-E30F-4BA4-B643-223C999E33A6}"/>
            </c:ext>
          </c:extLst>
        </c:ser>
        <c:ser>
          <c:idx val="2"/>
          <c:order val="1"/>
          <c:tx>
            <c:v>Actual Operating Reserve</c:v>
          </c:tx>
          <c:spPr>
            <a:ln>
              <a:solidFill>
                <a:schemeClr val="tx2"/>
              </a:solidFill>
              <a:prstDash val="dash"/>
            </a:ln>
          </c:spPr>
          <c:marker>
            <c:symbol val="none"/>
          </c:marker>
          <c:cat>
            <c:numRef>
              <c:f>Sum!$G$5:$P$5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Sum!$G$37:$P$37</c:f>
              <c:numCache>
                <c:formatCode>0%</c:formatCode>
                <c:ptCount val="10"/>
                <c:pt idx="0">
                  <c:v>0.32157568523232882</c:v>
                </c:pt>
                <c:pt idx="1">
                  <c:v>0.35182818662627341</c:v>
                </c:pt>
                <c:pt idx="2">
                  <c:v>0.66216113857954595</c:v>
                </c:pt>
                <c:pt idx="3">
                  <c:v>0.79025575831917561</c:v>
                </c:pt>
                <c:pt idx="4">
                  <c:v>1.1310583091317166</c:v>
                </c:pt>
                <c:pt idx="5">
                  <c:v>1.358481584534184</c:v>
                </c:pt>
                <c:pt idx="6">
                  <c:v>1.5583636551130606</c:v>
                </c:pt>
                <c:pt idx="7">
                  <c:v>1.7317248547010835</c:v>
                </c:pt>
                <c:pt idx="8">
                  <c:v>1.879563810130634</c:v>
                </c:pt>
                <c:pt idx="9">
                  <c:v>2.003675627852139</c:v>
                </c:pt>
              </c:numCache>
            </c:numRef>
          </c:val>
          <c:smooth val="0"/>
          <c:extLst>
            <c:ext xmlns:c16="http://schemas.microsoft.com/office/drawing/2014/chart" uri="{C3380CC4-5D6E-409C-BE32-E72D297353CC}">
              <c16:uniqueId val="{00000001-E30F-4BA4-B643-223C999E33A6}"/>
            </c:ext>
          </c:extLst>
        </c:ser>
        <c:dLbls>
          <c:showLegendKey val="0"/>
          <c:showVal val="0"/>
          <c:showCatName val="0"/>
          <c:showSerName val="0"/>
          <c:showPercent val="0"/>
          <c:showBubbleSize val="0"/>
        </c:dLbls>
        <c:smooth val="0"/>
        <c:axId val="632166640"/>
        <c:axId val="632167424"/>
      </c:lineChart>
      <c:catAx>
        <c:axId val="632166640"/>
        <c:scaling>
          <c:orientation val="minMax"/>
        </c:scaling>
        <c:delete val="0"/>
        <c:axPos val="b"/>
        <c:numFmt formatCode="0" sourceLinked="1"/>
        <c:majorTickMark val="out"/>
        <c:minorTickMark val="none"/>
        <c:tickLblPos val="nextTo"/>
        <c:txPr>
          <a:bodyPr/>
          <a:lstStyle/>
          <a:p>
            <a:pPr>
              <a:defRPr sz="1100" b="1">
                <a:solidFill>
                  <a:schemeClr val="tx2"/>
                </a:solidFill>
              </a:defRPr>
            </a:pPr>
            <a:endParaRPr lang="en-US"/>
          </a:p>
        </c:txPr>
        <c:crossAx val="632167424"/>
        <c:crosses val="autoZero"/>
        <c:auto val="1"/>
        <c:lblAlgn val="ctr"/>
        <c:lblOffset val="100"/>
        <c:noMultiLvlLbl val="0"/>
      </c:catAx>
      <c:valAx>
        <c:axId val="632167424"/>
        <c:scaling>
          <c:orientation val="minMax"/>
          <c:min val="0"/>
        </c:scaling>
        <c:delete val="0"/>
        <c:axPos val="l"/>
        <c:majorGridlines/>
        <c:numFmt formatCode="0.0%" sourceLinked="0"/>
        <c:majorTickMark val="out"/>
        <c:minorTickMark val="none"/>
        <c:tickLblPos val="nextTo"/>
        <c:txPr>
          <a:bodyPr/>
          <a:lstStyle/>
          <a:p>
            <a:pPr>
              <a:defRPr sz="1100" b="1">
                <a:solidFill>
                  <a:schemeClr val="tx2"/>
                </a:solidFill>
              </a:defRPr>
            </a:pPr>
            <a:endParaRPr lang="en-US"/>
          </a:p>
        </c:txPr>
        <c:crossAx val="632166640"/>
        <c:crosses val="autoZero"/>
        <c:crossBetween val="between"/>
      </c:valAx>
    </c:plotArea>
    <c:legend>
      <c:legendPos val="b"/>
      <c:overlay val="0"/>
      <c:txPr>
        <a:bodyPr/>
        <a:lstStyle/>
        <a:p>
          <a:pPr>
            <a:defRPr sz="1100" b="1">
              <a:solidFill>
                <a:schemeClr val="tx2"/>
              </a:solidFill>
            </a:defRPr>
          </a:pPr>
          <a:endParaRPr lang="en-US"/>
        </a:p>
      </c:txPr>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790464240903541"/>
          <c:y val="9.9502970999354248E-2"/>
          <c:w val="0.86951066499372642"/>
          <c:h val="0.62189356874596136"/>
        </c:manualLayout>
      </c:layout>
      <c:lineChart>
        <c:grouping val="standard"/>
        <c:varyColors val="0"/>
        <c:ser>
          <c:idx val="0"/>
          <c:order val="0"/>
          <c:tx>
            <c:strRef>
              <c:f>Sum!$A$37</c:f>
              <c:strCache>
                <c:ptCount val="1"/>
                <c:pt idx="0">
                  <c:v>    Percent Total Reserves - Actual</c:v>
                </c:pt>
              </c:strCache>
            </c:strRef>
          </c:tx>
          <c:spPr>
            <a:ln w="12700">
              <a:solidFill>
                <a:srgbClr val="000080"/>
              </a:solidFill>
              <a:prstDash val="solid"/>
            </a:ln>
          </c:spPr>
          <c:marker>
            <c:symbol val="diamond"/>
            <c:size val="5"/>
            <c:spPr>
              <a:solidFill>
                <a:srgbClr val="000080"/>
              </a:solidFill>
              <a:ln>
                <a:solidFill>
                  <a:srgbClr val="000080"/>
                </a:solidFill>
                <a:prstDash val="solid"/>
              </a:ln>
            </c:spPr>
          </c:marker>
          <c:cat>
            <c:numRef>
              <c:f>Sum!$G$5:$P$5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Sum!$G$37:$P$37</c:f>
              <c:numCache>
                <c:formatCode>0%</c:formatCode>
                <c:ptCount val="10"/>
                <c:pt idx="0">
                  <c:v>0.32157568523232882</c:v>
                </c:pt>
                <c:pt idx="1">
                  <c:v>0.35182818662627341</c:v>
                </c:pt>
                <c:pt idx="2">
                  <c:v>0.66216113857954595</c:v>
                </c:pt>
                <c:pt idx="3">
                  <c:v>0.79025575831917561</c:v>
                </c:pt>
                <c:pt idx="4">
                  <c:v>1.1310583091317166</c:v>
                </c:pt>
                <c:pt idx="5">
                  <c:v>1.358481584534184</c:v>
                </c:pt>
                <c:pt idx="6">
                  <c:v>1.5583636551130606</c:v>
                </c:pt>
                <c:pt idx="7">
                  <c:v>1.7317248547010835</c:v>
                </c:pt>
                <c:pt idx="8">
                  <c:v>1.879563810130634</c:v>
                </c:pt>
                <c:pt idx="9">
                  <c:v>2.003675627852139</c:v>
                </c:pt>
              </c:numCache>
            </c:numRef>
          </c:val>
          <c:smooth val="0"/>
          <c:extLst>
            <c:ext xmlns:c16="http://schemas.microsoft.com/office/drawing/2014/chart" uri="{C3380CC4-5D6E-409C-BE32-E72D297353CC}">
              <c16:uniqueId val="{00000000-122D-4DA5-80F1-0EB88D7A1312}"/>
            </c:ext>
          </c:extLst>
        </c:ser>
        <c:ser>
          <c:idx val="1"/>
          <c:order val="1"/>
          <c:tx>
            <c:strRef>
              <c:f>Sum!$A$38</c:f>
              <c:strCache>
                <c:ptCount val="1"/>
                <c:pt idx="0">
                  <c:v>    Percent Total Reserves - Target</c:v>
                </c:pt>
              </c:strCache>
            </c:strRef>
          </c:tx>
          <c:spPr>
            <a:ln w="25400">
              <a:solidFill>
                <a:srgbClr val="FF00FF"/>
              </a:solidFill>
              <a:prstDash val="solid"/>
            </a:ln>
          </c:spPr>
          <c:marker>
            <c:symbol val="none"/>
          </c:marker>
          <c:cat>
            <c:numRef>
              <c:f>Sum!$G$5:$P$5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Sum!$G$38:$P$38</c:f>
              <c:numCache>
                <c:formatCode>0%</c:formatCode>
                <c:ptCount val="10"/>
                <c:pt idx="0">
                  <c:v>0.5</c:v>
                </c:pt>
                <c:pt idx="1">
                  <c:v>0.5</c:v>
                </c:pt>
                <c:pt idx="2">
                  <c:v>0.5</c:v>
                </c:pt>
                <c:pt idx="3">
                  <c:v>0.5</c:v>
                </c:pt>
                <c:pt idx="4">
                  <c:v>0.5</c:v>
                </c:pt>
                <c:pt idx="5">
                  <c:v>0.5</c:v>
                </c:pt>
                <c:pt idx="6">
                  <c:v>0.5</c:v>
                </c:pt>
                <c:pt idx="7">
                  <c:v>0.5</c:v>
                </c:pt>
                <c:pt idx="8">
                  <c:v>0.5</c:v>
                </c:pt>
                <c:pt idx="9">
                  <c:v>0.5</c:v>
                </c:pt>
              </c:numCache>
            </c:numRef>
          </c:val>
          <c:smooth val="0"/>
          <c:extLst>
            <c:ext xmlns:c16="http://schemas.microsoft.com/office/drawing/2014/chart" uri="{C3380CC4-5D6E-409C-BE32-E72D297353CC}">
              <c16:uniqueId val="{00000001-122D-4DA5-80F1-0EB88D7A1312}"/>
            </c:ext>
          </c:extLst>
        </c:ser>
        <c:dLbls>
          <c:showLegendKey val="0"/>
          <c:showVal val="0"/>
          <c:showCatName val="0"/>
          <c:showSerName val="0"/>
          <c:showPercent val="0"/>
          <c:showBubbleSize val="0"/>
        </c:dLbls>
        <c:marker val="1"/>
        <c:smooth val="0"/>
        <c:axId val="632164288"/>
        <c:axId val="632168208"/>
      </c:lineChart>
      <c:catAx>
        <c:axId val="632164288"/>
        <c:scaling>
          <c:orientation val="minMax"/>
        </c:scaling>
        <c:delete val="0"/>
        <c:axPos val="b"/>
        <c:numFmt formatCode="0" sourceLinked="1"/>
        <c:majorTickMark val="out"/>
        <c:minorTickMark val="none"/>
        <c:tickLblPos val="nextTo"/>
        <c:spPr>
          <a:ln w="3175">
            <a:solidFill>
              <a:srgbClr val="000000"/>
            </a:solidFill>
            <a:prstDash val="solid"/>
          </a:ln>
        </c:spPr>
        <c:txPr>
          <a:bodyPr rot="0" vert="horz"/>
          <a:lstStyle/>
          <a:p>
            <a:pPr>
              <a:defRPr sz="875" b="0" i="0" u="none" strike="noStrike" baseline="0">
                <a:solidFill>
                  <a:srgbClr val="000000"/>
                </a:solidFill>
                <a:latin typeface="Arial"/>
                <a:ea typeface="Arial"/>
                <a:cs typeface="Arial"/>
              </a:defRPr>
            </a:pPr>
            <a:endParaRPr lang="en-US"/>
          </a:p>
        </c:txPr>
        <c:crossAx val="632168208"/>
        <c:crosses val="autoZero"/>
        <c:auto val="1"/>
        <c:lblAlgn val="ctr"/>
        <c:lblOffset val="100"/>
        <c:tickLblSkip val="1"/>
        <c:tickMarkSkip val="1"/>
        <c:noMultiLvlLbl val="0"/>
      </c:catAx>
      <c:valAx>
        <c:axId val="632168208"/>
        <c:scaling>
          <c:orientation val="minMax"/>
          <c:min val="0"/>
        </c:scaling>
        <c:delete val="0"/>
        <c:axPos val="l"/>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632164288"/>
        <c:crosses val="autoZero"/>
        <c:crossBetween val="between"/>
      </c:valAx>
      <c:spPr>
        <a:solidFill>
          <a:srgbClr val="C0C0C0"/>
        </a:solidFill>
        <a:ln w="12700">
          <a:solidFill>
            <a:srgbClr val="808080"/>
          </a:solidFill>
          <a:prstDash val="solid"/>
        </a:ln>
      </c:spPr>
    </c:plotArea>
    <c:legend>
      <c:legendPos val="b"/>
      <c:legendEntry>
        <c:idx val="0"/>
        <c:txPr>
          <a:bodyPr/>
          <a:lstStyle/>
          <a:p>
            <a:pPr>
              <a:defRPr sz="735" b="0" i="0" u="none" strike="noStrike" baseline="0">
                <a:solidFill>
                  <a:srgbClr val="000000"/>
                </a:solidFill>
                <a:latin typeface="Arial"/>
                <a:ea typeface="Arial"/>
                <a:cs typeface="Arial"/>
              </a:defRPr>
            </a:pPr>
            <a:endParaRPr lang="en-US"/>
          </a:p>
        </c:txPr>
      </c:legendEntry>
      <c:layout>
        <c:manualLayout>
          <c:xMode val="edge"/>
          <c:yMode val="edge"/>
          <c:x val="0.20577164366373887"/>
          <c:y val="0.8905515904442165"/>
          <c:w val="0.59096612296109463"/>
          <c:h val="8.9552673899418567E-2"/>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755" r="0.75000000000000755" t="1" header="0.5" footer="0.5"/>
    <c:pageSetup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152895854009845"/>
          <c:y val="9.9010140320767728E-2"/>
          <c:w val="0.86340957791154882"/>
          <c:h val="0.60891236297272056"/>
        </c:manualLayout>
      </c:layout>
      <c:lineChart>
        <c:grouping val="standard"/>
        <c:varyColors val="0"/>
        <c:ser>
          <c:idx val="0"/>
          <c:order val="0"/>
          <c:tx>
            <c:strRef>
              <c:f>Sum!$A$42</c:f>
              <c:strCache>
                <c:ptCount val="1"/>
                <c:pt idx="0">
                  <c:v>    Coverage Ratio - Actual</c:v>
                </c:pt>
              </c:strCache>
            </c:strRef>
          </c:tx>
          <c:spPr>
            <a:ln w="12700">
              <a:solidFill>
                <a:srgbClr val="000080"/>
              </a:solidFill>
              <a:prstDash val="solid"/>
            </a:ln>
          </c:spPr>
          <c:marker>
            <c:symbol val="diamond"/>
            <c:size val="5"/>
            <c:spPr>
              <a:solidFill>
                <a:srgbClr val="000080"/>
              </a:solidFill>
              <a:ln>
                <a:solidFill>
                  <a:srgbClr val="000080"/>
                </a:solidFill>
                <a:prstDash val="solid"/>
              </a:ln>
            </c:spPr>
          </c:marker>
          <c:cat>
            <c:numRef>
              <c:f>Sum!$G$5:$P$5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Sum!$G$42:$P$42</c:f>
              <c:numCache>
                <c:formatCode>_(* #,##0.00_);_(* \(#,##0.00\);_(* "-"??_);_(@_)</c:formatCode>
                <c:ptCount val="10"/>
                <c:pt idx="0">
                  <c:v>9.8249961919873403</c:v>
                </c:pt>
                <c:pt idx="1">
                  <c:v>18.749242401145224</c:v>
                </c:pt>
                <c:pt idx="2">
                  <c:v>12.842943236568614</c:v>
                </c:pt>
                <c:pt idx="3">
                  <c:v>9.5699640252871347</c:v>
                </c:pt>
                <c:pt idx="4">
                  <c:v>9.1616314582289338</c:v>
                </c:pt>
                <c:pt idx="5">
                  <c:v>8.7340885812750511</c:v>
                </c:pt>
                <c:pt idx="6">
                  <c:v>8.3131905008060212</c:v>
                </c:pt>
                <c:pt idx="7">
                  <c:v>7.8717744262939471</c:v>
                </c:pt>
                <c:pt idx="8">
                  <c:v>7.4091467356153062</c:v>
                </c:pt>
                <c:pt idx="9">
                  <c:v>6.9511200790969854</c:v>
                </c:pt>
              </c:numCache>
            </c:numRef>
          </c:val>
          <c:smooth val="0"/>
          <c:extLst>
            <c:ext xmlns:c16="http://schemas.microsoft.com/office/drawing/2014/chart" uri="{C3380CC4-5D6E-409C-BE32-E72D297353CC}">
              <c16:uniqueId val="{00000000-1ABD-4C2E-8D9C-B4E692856756}"/>
            </c:ext>
          </c:extLst>
        </c:ser>
        <c:ser>
          <c:idx val="1"/>
          <c:order val="1"/>
          <c:tx>
            <c:strRef>
              <c:f>Sum!$A$43</c:f>
              <c:strCache>
                <c:ptCount val="1"/>
                <c:pt idx="0">
                  <c:v>    Coverage Ratio - Target</c:v>
                </c:pt>
              </c:strCache>
            </c:strRef>
          </c:tx>
          <c:spPr>
            <a:ln w="25400">
              <a:solidFill>
                <a:srgbClr val="FF00FF"/>
              </a:solidFill>
              <a:prstDash val="solid"/>
            </a:ln>
          </c:spPr>
          <c:marker>
            <c:symbol val="none"/>
          </c:marker>
          <c:cat>
            <c:numRef>
              <c:f>Sum!$G$5:$P$5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Sum!$G$43:$P$43</c:f>
              <c:numCache>
                <c:formatCode>_(* #,##0.00_);_(* \(#,##0.00\);_(* "-"??_);_(@_)</c:formatCode>
                <c:ptCount val="10"/>
                <c:pt idx="0">
                  <c:v>1.25</c:v>
                </c:pt>
                <c:pt idx="1">
                  <c:v>1.25</c:v>
                </c:pt>
                <c:pt idx="2">
                  <c:v>1.25</c:v>
                </c:pt>
                <c:pt idx="3">
                  <c:v>1.25</c:v>
                </c:pt>
                <c:pt idx="4">
                  <c:v>1.25</c:v>
                </c:pt>
                <c:pt idx="5">
                  <c:v>1.25</c:v>
                </c:pt>
                <c:pt idx="6">
                  <c:v>1.25</c:v>
                </c:pt>
                <c:pt idx="7">
                  <c:v>1.25</c:v>
                </c:pt>
                <c:pt idx="8">
                  <c:v>1.25</c:v>
                </c:pt>
                <c:pt idx="9">
                  <c:v>1.25</c:v>
                </c:pt>
              </c:numCache>
            </c:numRef>
          </c:val>
          <c:smooth val="0"/>
          <c:extLst>
            <c:ext xmlns:c16="http://schemas.microsoft.com/office/drawing/2014/chart" uri="{C3380CC4-5D6E-409C-BE32-E72D297353CC}">
              <c16:uniqueId val="{00000001-1ABD-4C2E-8D9C-B4E692856756}"/>
            </c:ext>
          </c:extLst>
        </c:ser>
        <c:dLbls>
          <c:showLegendKey val="0"/>
          <c:showVal val="0"/>
          <c:showCatName val="0"/>
          <c:showSerName val="0"/>
          <c:showPercent val="0"/>
          <c:showBubbleSize val="0"/>
        </c:dLbls>
        <c:marker val="1"/>
        <c:smooth val="0"/>
        <c:axId val="632169384"/>
        <c:axId val="632169776"/>
      </c:lineChart>
      <c:catAx>
        <c:axId val="632169384"/>
        <c:scaling>
          <c:orientation val="minMax"/>
        </c:scaling>
        <c:delete val="0"/>
        <c:axPos val="b"/>
        <c:numFmt formatCode="0" sourceLinked="1"/>
        <c:majorTickMark val="out"/>
        <c:minorTickMark val="none"/>
        <c:tickLblPos val="nextTo"/>
        <c:spPr>
          <a:ln w="3175">
            <a:solidFill>
              <a:srgbClr val="000000"/>
            </a:solidFill>
            <a:prstDash val="solid"/>
          </a:ln>
        </c:spPr>
        <c:txPr>
          <a:bodyPr rot="0" vert="horz"/>
          <a:lstStyle/>
          <a:p>
            <a:pPr>
              <a:defRPr sz="875" b="0" i="0" u="none" strike="noStrike" baseline="0">
                <a:solidFill>
                  <a:srgbClr val="000000"/>
                </a:solidFill>
                <a:latin typeface="Arial"/>
                <a:ea typeface="Arial"/>
                <a:cs typeface="Arial"/>
              </a:defRPr>
            </a:pPr>
            <a:endParaRPr lang="en-US"/>
          </a:p>
        </c:txPr>
        <c:crossAx val="632169776"/>
        <c:crosses val="autoZero"/>
        <c:auto val="1"/>
        <c:lblAlgn val="ctr"/>
        <c:lblOffset val="100"/>
        <c:tickLblSkip val="1"/>
        <c:tickMarkSkip val="1"/>
        <c:noMultiLvlLbl val="0"/>
      </c:catAx>
      <c:valAx>
        <c:axId val="632169776"/>
        <c:scaling>
          <c:orientation val="minMax"/>
          <c:min val="0"/>
        </c:scaling>
        <c:delete val="0"/>
        <c:axPos val="l"/>
        <c:majorGridlines>
          <c:spPr>
            <a:ln w="3175">
              <a:solidFill>
                <a:srgbClr val="000000"/>
              </a:solidFill>
              <a:prstDash val="solid"/>
            </a:ln>
          </c:spPr>
        </c:majorGridlines>
        <c:numFmt formatCode="_(* #,##0.00_);_(* \(#,##0.00\);_(* &quot;-&quot;??_);_(@_)"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632169384"/>
        <c:crosses val="autoZero"/>
        <c:crossBetween val="between"/>
      </c:valAx>
      <c:spPr>
        <a:solidFill>
          <a:srgbClr val="C0C0C0"/>
        </a:solidFill>
        <a:ln w="12700">
          <a:solidFill>
            <a:srgbClr val="808080"/>
          </a:solidFill>
          <a:prstDash val="solid"/>
        </a:ln>
      </c:spPr>
    </c:plotArea>
    <c:legend>
      <c:legendPos val="b"/>
      <c:legendEntry>
        <c:idx val="0"/>
        <c:txPr>
          <a:bodyPr/>
          <a:lstStyle/>
          <a:p>
            <a:pPr>
              <a:defRPr sz="735" b="0" i="0" u="none" strike="noStrike" baseline="0">
                <a:solidFill>
                  <a:srgbClr val="000000"/>
                </a:solidFill>
                <a:latin typeface="Arial"/>
                <a:ea typeface="Arial"/>
                <a:cs typeface="Arial"/>
              </a:defRPr>
            </a:pPr>
            <a:endParaRPr lang="en-US"/>
          </a:p>
        </c:txPr>
      </c:legendEntry>
      <c:layout>
        <c:manualLayout>
          <c:xMode val="edge"/>
          <c:yMode val="edge"/>
          <c:x val="0.21804537961772394"/>
          <c:y val="0.87128923482275589"/>
          <c:w val="0.59022628620658868"/>
          <c:h val="8.4158619272652765E-2"/>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755" r="0.7500000000000075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790464240903541"/>
          <c:y val="9.9502970999354248E-2"/>
          <c:w val="0.8682559598494356"/>
          <c:h val="0.59204267744615524"/>
        </c:manualLayout>
      </c:layout>
      <c:lineChart>
        <c:grouping val="standard"/>
        <c:varyColors val="0"/>
        <c:ser>
          <c:idx val="0"/>
          <c:order val="0"/>
          <c:tx>
            <c:strRef>
              <c:f>Sum!$A$37</c:f>
              <c:strCache>
                <c:ptCount val="1"/>
                <c:pt idx="0">
                  <c:v>    Percent Total Reserves - Actual</c:v>
                </c:pt>
              </c:strCache>
            </c:strRef>
          </c:tx>
          <c:spPr>
            <a:ln w="12700">
              <a:solidFill>
                <a:srgbClr val="000080"/>
              </a:solidFill>
              <a:prstDash val="solid"/>
            </a:ln>
          </c:spPr>
          <c:marker>
            <c:symbol val="diamond"/>
            <c:size val="5"/>
            <c:spPr>
              <a:solidFill>
                <a:srgbClr val="000080"/>
              </a:solidFill>
              <a:ln>
                <a:solidFill>
                  <a:srgbClr val="000080"/>
                </a:solidFill>
                <a:prstDash val="solid"/>
              </a:ln>
            </c:spPr>
          </c:marker>
          <c:cat>
            <c:numRef>
              <c:f>Sum!$G$5:$P$5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Sum!$G$110:$P$110</c:f>
              <c:numCache>
                <c:formatCode>0%</c:formatCode>
                <c:ptCount val="10"/>
                <c:pt idx="0">
                  <c:v>0.1497548140914553</c:v>
                </c:pt>
                <c:pt idx="1">
                  <c:v>0.21689494162152034</c:v>
                </c:pt>
                <c:pt idx="2">
                  <c:v>0.2803952495129397</c:v>
                </c:pt>
                <c:pt idx="3">
                  <c:v>0.33859945575080125</c:v>
                </c:pt>
                <c:pt idx="4">
                  <c:v>0.39123077656208127</c:v>
                </c:pt>
                <c:pt idx="5">
                  <c:v>0.43804649694566178</c:v>
                </c:pt>
                <c:pt idx="6">
                  <c:v>0.48063086083636697</c:v>
                </c:pt>
                <c:pt idx="7">
                  <c:v>0.51865329387226367</c:v>
                </c:pt>
                <c:pt idx="8">
                  <c:v>0.55181970094502175</c:v>
                </c:pt>
                <c:pt idx="9">
                  <c:v>0.58151901369763426</c:v>
                </c:pt>
              </c:numCache>
            </c:numRef>
          </c:val>
          <c:smooth val="0"/>
          <c:extLst>
            <c:ext xmlns:c16="http://schemas.microsoft.com/office/drawing/2014/chart" uri="{C3380CC4-5D6E-409C-BE32-E72D297353CC}">
              <c16:uniqueId val="{00000000-F369-4489-BB74-1A779953611D}"/>
            </c:ext>
          </c:extLst>
        </c:ser>
        <c:ser>
          <c:idx val="1"/>
          <c:order val="1"/>
          <c:tx>
            <c:strRef>
              <c:f>Sum!$A$38</c:f>
              <c:strCache>
                <c:ptCount val="1"/>
                <c:pt idx="0">
                  <c:v>    Percent Total Reserves - Target</c:v>
                </c:pt>
              </c:strCache>
            </c:strRef>
          </c:tx>
          <c:spPr>
            <a:ln w="25400">
              <a:solidFill>
                <a:srgbClr val="FF00FF"/>
              </a:solidFill>
              <a:prstDash val="solid"/>
            </a:ln>
          </c:spPr>
          <c:marker>
            <c:symbol val="none"/>
          </c:marker>
          <c:cat>
            <c:numRef>
              <c:f>Sum!$G$5:$P$5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Sum!$G$111:$P$111</c:f>
              <c:numCache>
                <c:formatCode>0%</c:formatCode>
                <c:ptCount val="10"/>
                <c:pt idx="0">
                  <c:v>0.5</c:v>
                </c:pt>
                <c:pt idx="1">
                  <c:v>0.5</c:v>
                </c:pt>
                <c:pt idx="2">
                  <c:v>0.5</c:v>
                </c:pt>
                <c:pt idx="3">
                  <c:v>0.5</c:v>
                </c:pt>
                <c:pt idx="4">
                  <c:v>0.5</c:v>
                </c:pt>
                <c:pt idx="5">
                  <c:v>0.5</c:v>
                </c:pt>
                <c:pt idx="6">
                  <c:v>0.5</c:v>
                </c:pt>
                <c:pt idx="7">
                  <c:v>0.5</c:v>
                </c:pt>
                <c:pt idx="8">
                  <c:v>0.5</c:v>
                </c:pt>
                <c:pt idx="9">
                  <c:v>0.5</c:v>
                </c:pt>
              </c:numCache>
            </c:numRef>
          </c:val>
          <c:smooth val="0"/>
          <c:extLst>
            <c:ext xmlns:c16="http://schemas.microsoft.com/office/drawing/2014/chart" uri="{C3380CC4-5D6E-409C-BE32-E72D297353CC}">
              <c16:uniqueId val="{00000001-F369-4489-BB74-1A779953611D}"/>
            </c:ext>
          </c:extLst>
        </c:ser>
        <c:dLbls>
          <c:showLegendKey val="0"/>
          <c:showVal val="0"/>
          <c:showCatName val="0"/>
          <c:showSerName val="0"/>
          <c:showPercent val="0"/>
          <c:showBubbleSize val="0"/>
        </c:dLbls>
        <c:marker val="1"/>
        <c:smooth val="0"/>
        <c:axId val="632170952"/>
        <c:axId val="632163504"/>
      </c:lineChart>
      <c:catAx>
        <c:axId val="632170952"/>
        <c:scaling>
          <c:orientation val="minMax"/>
        </c:scaling>
        <c:delete val="0"/>
        <c:axPos val="b"/>
        <c:numFmt formatCode="0" sourceLinked="1"/>
        <c:majorTickMark val="out"/>
        <c:minorTickMark val="none"/>
        <c:tickLblPos val="nextTo"/>
        <c:spPr>
          <a:ln w="3175">
            <a:solidFill>
              <a:srgbClr val="000000"/>
            </a:solidFill>
            <a:prstDash val="solid"/>
          </a:ln>
        </c:spPr>
        <c:txPr>
          <a:bodyPr rot="0" vert="horz"/>
          <a:lstStyle/>
          <a:p>
            <a:pPr>
              <a:defRPr sz="850" b="0" i="0" u="none" strike="noStrike" baseline="0">
                <a:solidFill>
                  <a:srgbClr val="000000"/>
                </a:solidFill>
                <a:latin typeface="Arial"/>
                <a:ea typeface="Arial"/>
                <a:cs typeface="Arial"/>
              </a:defRPr>
            </a:pPr>
            <a:endParaRPr lang="en-US"/>
          </a:p>
        </c:txPr>
        <c:crossAx val="632163504"/>
        <c:crosses val="autoZero"/>
        <c:auto val="1"/>
        <c:lblAlgn val="ctr"/>
        <c:lblOffset val="100"/>
        <c:tickLblSkip val="1"/>
        <c:tickMarkSkip val="1"/>
        <c:noMultiLvlLbl val="0"/>
      </c:catAx>
      <c:valAx>
        <c:axId val="632163504"/>
        <c:scaling>
          <c:orientation val="minMax"/>
        </c:scaling>
        <c:delete val="0"/>
        <c:axPos val="l"/>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632170952"/>
        <c:crosses val="autoZero"/>
        <c:crossBetween val="between"/>
      </c:valAx>
      <c:spPr>
        <a:solidFill>
          <a:srgbClr val="C0C0C0"/>
        </a:solidFill>
        <a:ln w="12700">
          <a:solidFill>
            <a:srgbClr val="808080"/>
          </a:solidFill>
          <a:prstDash val="solid"/>
        </a:ln>
      </c:spPr>
    </c:plotArea>
    <c:legend>
      <c:legendPos val="b"/>
      <c:legendEntry>
        <c:idx val="0"/>
        <c:txPr>
          <a:bodyPr/>
          <a:lstStyle/>
          <a:p>
            <a:pPr>
              <a:defRPr sz="735" b="0" i="0" u="none" strike="noStrike" baseline="0">
                <a:solidFill>
                  <a:srgbClr val="000000"/>
                </a:solidFill>
                <a:latin typeface="Arial"/>
                <a:ea typeface="Arial"/>
                <a:cs typeface="Arial"/>
              </a:defRPr>
            </a:pPr>
            <a:endParaRPr lang="en-US"/>
          </a:p>
        </c:txPr>
      </c:legendEntry>
      <c:layout>
        <c:manualLayout>
          <c:xMode val="edge"/>
          <c:yMode val="edge"/>
          <c:x val="0.15809284818067978"/>
          <c:y val="0.85572555059445721"/>
          <c:w val="0.59096612296109463"/>
          <c:h val="0.11940356519922445"/>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755" r="0.7500000000000075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904776473381302"/>
          <c:y val="9.9010140320767728E-2"/>
          <c:w val="0.85714390608346303"/>
          <c:h val="0.60396185595668361"/>
        </c:manualLayout>
      </c:layout>
      <c:lineChart>
        <c:grouping val="standard"/>
        <c:varyColors val="0"/>
        <c:ser>
          <c:idx val="0"/>
          <c:order val="0"/>
          <c:tx>
            <c:strRef>
              <c:f>Sum!$A$42</c:f>
              <c:strCache>
                <c:ptCount val="1"/>
                <c:pt idx="0">
                  <c:v>    Coverage Ratio - Actual</c:v>
                </c:pt>
              </c:strCache>
            </c:strRef>
          </c:tx>
          <c:spPr>
            <a:ln w="12700">
              <a:solidFill>
                <a:srgbClr val="000080"/>
              </a:solidFill>
              <a:prstDash val="solid"/>
            </a:ln>
          </c:spPr>
          <c:marker>
            <c:symbol val="diamond"/>
            <c:size val="5"/>
            <c:spPr>
              <a:solidFill>
                <a:srgbClr val="000080"/>
              </a:solidFill>
              <a:ln>
                <a:solidFill>
                  <a:srgbClr val="000080"/>
                </a:solidFill>
                <a:prstDash val="solid"/>
              </a:ln>
            </c:spPr>
          </c:marker>
          <c:cat>
            <c:numRef>
              <c:f>Sum!$G$5:$P$5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Sum!$G$115:$P$115</c:f>
              <c:numCache>
                <c:formatCode>_(* #,##0.00_);_(* \(#,##0.00\);_(* "-"??_);_(@_)</c:formatCode>
                <c:ptCount val="10"/>
                <c:pt idx="0">
                  <c:v>2.0613995543907282</c:v>
                </c:pt>
                <c:pt idx="1">
                  <c:v>4.6820750501762856</c:v>
                </c:pt>
                <c:pt idx="2">
                  <c:v>4.6316524371647256</c:v>
                </c:pt>
                <c:pt idx="3">
                  <c:v>4.5540752700517952</c:v>
                </c:pt>
                <c:pt idx="4">
                  <c:v>4.4484833310992435</c:v>
                </c:pt>
                <c:pt idx="5">
                  <c:v>4.3139778114702478</c:v>
                </c:pt>
                <c:pt idx="6">
                  <c:v>4.2458827783855453</c:v>
                </c:pt>
                <c:pt idx="7">
                  <c:v>4.1470549121513649</c:v>
                </c:pt>
                <c:pt idx="8">
                  <c:v>4.0164928832961015</c:v>
                </c:pt>
                <c:pt idx="9">
                  <c:v>3.9495862210231794</c:v>
                </c:pt>
              </c:numCache>
            </c:numRef>
          </c:val>
          <c:smooth val="0"/>
          <c:extLst>
            <c:ext xmlns:c16="http://schemas.microsoft.com/office/drawing/2014/chart" uri="{C3380CC4-5D6E-409C-BE32-E72D297353CC}">
              <c16:uniqueId val="{00000000-CCCB-4ED4-A515-A827B00DA6AB}"/>
            </c:ext>
          </c:extLst>
        </c:ser>
        <c:ser>
          <c:idx val="1"/>
          <c:order val="1"/>
          <c:tx>
            <c:strRef>
              <c:f>Sum!$A$43</c:f>
              <c:strCache>
                <c:ptCount val="1"/>
                <c:pt idx="0">
                  <c:v>    Coverage Ratio - Target</c:v>
                </c:pt>
              </c:strCache>
            </c:strRef>
          </c:tx>
          <c:spPr>
            <a:ln w="25400">
              <a:solidFill>
                <a:srgbClr val="FF00FF"/>
              </a:solidFill>
              <a:prstDash val="solid"/>
            </a:ln>
          </c:spPr>
          <c:marker>
            <c:symbol val="none"/>
          </c:marker>
          <c:cat>
            <c:numRef>
              <c:f>Sum!$G$5:$P$5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Sum!$G$116:$P$116</c:f>
              <c:numCache>
                <c:formatCode>_(* #,##0.00_);_(* \(#,##0.00\);_(* "-"??_);_(@_)</c:formatCode>
                <c:ptCount val="10"/>
                <c:pt idx="0">
                  <c:v>1.25</c:v>
                </c:pt>
                <c:pt idx="1">
                  <c:v>1.25</c:v>
                </c:pt>
                <c:pt idx="2">
                  <c:v>1.25</c:v>
                </c:pt>
                <c:pt idx="3">
                  <c:v>1.25</c:v>
                </c:pt>
                <c:pt idx="4">
                  <c:v>1.25</c:v>
                </c:pt>
                <c:pt idx="5">
                  <c:v>1.25</c:v>
                </c:pt>
                <c:pt idx="6">
                  <c:v>1.25</c:v>
                </c:pt>
                <c:pt idx="7">
                  <c:v>1.25</c:v>
                </c:pt>
                <c:pt idx="8">
                  <c:v>1.25</c:v>
                </c:pt>
                <c:pt idx="9">
                  <c:v>1.25</c:v>
                </c:pt>
              </c:numCache>
            </c:numRef>
          </c:val>
          <c:smooth val="0"/>
          <c:extLst>
            <c:ext xmlns:c16="http://schemas.microsoft.com/office/drawing/2014/chart" uri="{C3380CC4-5D6E-409C-BE32-E72D297353CC}">
              <c16:uniqueId val="{00000001-CCCB-4ED4-A515-A827B00DA6AB}"/>
            </c:ext>
          </c:extLst>
        </c:ser>
        <c:dLbls>
          <c:showLegendKey val="0"/>
          <c:showVal val="0"/>
          <c:showCatName val="0"/>
          <c:showSerName val="0"/>
          <c:showPercent val="0"/>
          <c:showBubbleSize val="0"/>
        </c:dLbls>
        <c:marker val="1"/>
        <c:smooth val="0"/>
        <c:axId val="632163896"/>
        <c:axId val="632165072"/>
      </c:lineChart>
      <c:catAx>
        <c:axId val="632163896"/>
        <c:scaling>
          <c:orientation val="minMax"/>
        </c:scaling>
        <c:delete val="0"/>
        <c:axPos val="b"/>
        <c:numFmt formatCode="0" sourceLinked="1"/>
        <c:majorTickMark val="out"/>
        <c:minorTickMark val="none"/>
        <c:tickLblPos val="nextTo"/>
        <c:spPr>
          <a:ln w="3175">
            <a:solidFill>
              <a:srgbClr val="000000"/>
            </a:solidFill>
            <a:prstDash val="solid"/>
          </a:ln>
        </c:spPr>
        <c:txPr>
          <a:bodyPr rot="0" vert="horz"/>
          <a:lstStyle/>
          <a:p>
            <a:pPr>
              <a:defRPr sz="875" b="0" i="0" u="none" strike="noStrike" baseline="0">
                <a:solidFill>
                  <a:srgbClr val="000000"/>
                </a:solidFill>
                <a:latin typeface="Arial"/>
                <a:ea typeface="Arial"/>
                <a:cs typeface="Arial"/>
              </a:defRPr>
            </a:pPr>
            <a:endParaRPr lang="en-US"/>
          </a:p>
        </c:txPr>
        <c:crossAx val="632165072"/>
        <c:crosses val="autoZero"/>
        <c:auto val="1"/>
        <c:lblAlgn val="ctr"/>
        <c:lblOffset val="100"/>
        <c:tickLblSkip val="1"/>
        <c:tickMarkSkip val="1"/>
        <c:noMultiLvlLbl val="0"/>
      </c:catAx>
      <c:valAx>
        <c:axId val="632165072"/>
        <c:scaling>
          <c:orientation val="minMax"/>
          <c:min val="0.75000000000000755"/>
        </c:scaling>
        <c:delete val="0"/>
        <c:axPos val="l"/>
        <c:majorGridlines>
          <c:spPr>
            <a:ln w="3175">
              <a:solidFill>
                <a:srgbClr val="000000"/>
              </a:solidFill>
              <a:prstDash val="solid"/>
            </a:ln>
          </c:spPr>
        </c:majorGridlines>
        <c:numFmt formatCode="_(* #,##0.00_);_(* \(#,##0.00\);_(* &quot;-&quot;??_);_(@_)"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632163896"/>
        <c:crosses val="autoZero"/>
        <c:crossBetween val="between"/>
      </c:valAx>
      <c:spPr>
        <a:solidFill>
          <a:srgbClr val="C0C0C0"/>
        </a:solidFill>
        <a:ln w="12700">
          <a:solidFill>
            <a:srgbClr val="808080"/>
          </a:solidFill>
          <a:prstDash val="solid"/>
        </a:ln>
      </c:spPr>
    </c:plotArea>
    <c:legend>
      <c:legendPos val="b"/>
      <c:legendEntry>
        <c:idx val="0"/>
        <c:txPr>
          <a:bodyPr/>
          <a:lstStyle/>
          <a:p>
            <a:pPr>
              <a:defRPr sz="735" b="0" i="0" u="none" strike="noStrike" baseline="0">
                <a:solidFill>
                  <a:srgbClr val="000000"/>
                </a:solidFill>
                <a:latin typeface="Arial"/>
                <a:ea typeface="Arial"/>
                <a:cs typeface="Arial"/>
              </a:defRPr>
            </a:pPr>
            <a:endParaRPr lang="en-US"/>
          </a:p>
        </c:txPr>
      </c:legendEntry>
      <c:layout>
        <c:manualLayout>
          <c:xMode val="edge"/>
          <c:yMode val="edge"/>
          <c:x val="0.17794507991791192"/>
          <c:y val="0.87128923482275589"/>
          <c:w val="0.59022628620658868"/>
          <c:h val="9.9010140320767728E-2"/>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755" r="0.7500000000000075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037641154328752"/>
          <c:y val="9.9502970999354248E-2"/>
          <c:w val="0.87578419071518265"/>
          <c:h val="0.62686871729592963"/>
        </c:manualLayout>
      </c:layout>
      <c:lineChart>
        <c:grouping val="standard"/>
        <c:varyColors val="0"/>
        <c:ser>
          <c:idx val="0"/>
          <c:order val="0"/>
          <c:tx>
            <c:strRef>
              <c:f>Sum!$A$37</c:f>
              <c:strCache>
                <c:ptCount val="1"/>
                <c:pt idx="0">
                  <c:v>    Percent Total Reserves - Actual</c:v>
                </c:pt>
              </c:strCache>
            </c:strRef>
          </c:tx>
          <c:spPr>
            <a:ln w="12700">
              <a:solidFill>
                <a:srgbClr val="000080"/>
              </a:solidFill>
              <a:prstDash val="solid"/>
            </a:ln>
          </c:spPr>
          <c:marker>
            <c:symbol val="diamond"/>
            <c:size val="5"/>
            <c:spPr>
              <a:solidFill>
                <a:srgbClr val="000080"/>
              </a:solidFill>
              <a:ln>
                <a:solidFill>
                  <a:srgbClr val="000080"/>
                </a:solidFill>
                <a:prstDash val="solid"/>
              </a:ln>
            </c:spPr>
          </c:marker>
          <c:cat>
            <c:numRef>
              <c:f>Sum!$G$5:$P$5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Sum!$G$183:$P$183</c:f>
              <c:numCache>
                <c:formatCode>0%</c:formatCode>
                <c:ptCount val="10"/>
                <c:pt idx="0">
                  <c:v>0.49543449166084663</c:v>
                </c:pt>
                <c:pt idx="1">
                  <c:v>0.44320747852006476</c:v>
                </c:pt>
                <c:pt idx="2">
                  <c:v>1.0018911574940637</c:v>
                </c:pt>
                <c:pt idx="3">
                  <c:v>1.1558899376067524</c:v>
                </c:pt>
                <c:pt idx="4">
                  <c:v>1.8565342871218187</c:v>
                </c:pt>
                <c:pt idx="5">
                  <c:v>2.2620203199110427</c:v>
                </c:pt>
                <c:pt idx="6">
                  <c:v>2.6174076026908306</c:v>
                </c:pt>
                <c:pt idx="7">
                  <c:v>2.9249627881598541</c:v>
                </c:pt>
                <c:pt idx="8">
                  <c:v>3.1868825478682719</c:v>
                </c:pt>
                <c:pt idx="9">
                  <c:v>3.4052946412251872</c:v>
                </c:pt>
              </c:numCache>
            </c:numRef>
          </c:val>
          <c:smooth val="0"/>
          <c:extLst>
            <c:ext xmlns:c16="http://schemas.microsoft.com/office/drawing/2014/chart" uri="{C3380CC4-5D6E-409C-BE32-E72D297353CC}">
              <c16:uniqueId val="{00000000-F502-4056-8EB4-373E215039B2}"/>
            </c:ext>
          </c:extLst>
        </c:ser>
        <c:ser>
          <c:idx val="1"/>
          <c:order val="1"/>
          <c:tx>
            <c:strRef>
              <c:f>Sum!$A$38</c:f>
              <c:strCache>
                <c:ptCount val="1"/>
                <c:pt idx="0">
                  <c:v>    Percent Total Reserves - Target</c:v>
                </c:pt>
              </c:strCache>
            </c:strRef>
          </c:tx>
          <c:spPr>
            <a:ln w="25400">
              <a:solidFill>
                <a:srgbClr val="FF00FF"/>
              </a:solidFill>
              <a:prstDash val="solid"/>
            </a:ln>
          </c:spPr>
          <c:marker>
            <c:symbol val="none"/>
          </c:marker>
          <c:cat>
            <c:numRef>
              <c:f>Sum!$G$5:$P$5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Sum!$G$184:$P$184</c:f>
              <c:numCache>
                <c:formatCode>0%</c:formatCode>
                <c:ptCount val="10"/>
                <c:pt idx="0">
                  <c:v>0.5</c:v>
                </c:pt>
                <c:pt idx="1">
                  <c:v>0.5</c:v>
                </c:pt>
                <c:pt idx="2">
                  <c:v>0.5</c:v>
                </c:pt>
                <c:pt idx="3">
                  <c:v>0.5</c:v>
                </c:pt>
                <c:pt idx="4">
                  <c:v>0.5</c:v>
                </c:pt>
                <c:pt idx="5">
                  <c:v>0.5</c:v>
                </c:pt>
                <c:pt idx="6">
                  <c:v>0.5</c:v>
                </c:pt>
                <c:pt idx="7">
                  <c:v>0.5</c:v>
                </c:pt>
                <c:pt idx="8">
                  <c:v>0.5</c:v>
                </c:pt>
                <c:pt idx="9">
                  <c:v>0.5</c:v>
                </c:pt>
              </c:numCache>
            </c:numRef>
          </c:val>
          <c:smooth val="0"/>
          <c:extLst>
            <c:ext xmlns:c16="http://schemas.microsoft.com/office/drawing/2014/chart" uri="{C3380CC4-5D6E-409C-BE32-E72D297353CC}">
              <c16:uniqueId val="{00000001-F502-4056-8EB4-373E215039B2}"/>
            </c:ext>
          </c:extLst>
        </c:ser>
        <c:dLbls>
          <c:showLegendKey val="0"/>
          <c:showVal val="0"/>
          <c:showCatName val="0"/>
          <c:showSerName val="0"/>
          <c:showPercent val="0"/>
          <c:showBubbleSize val="0"/>
        </c:dLbls>
        <c:marker val="1"/>
        <c:smooth val="0"/>
        <c:axId val="480999640"/>
        <c:axId val="480998464"/>
      </c:lineChart>
      <c:catAx>
        <c:axId val="480999640"/>
        <c:scaling>
          <c:orientation val="minMax"/>
        </c:scaling>
        <c:delete val="0"/>
        <c:axPos val="b"/>
        <c:numFmt formatCode="0" sourceLinked="1"/>
        <c:majorTickMark val="out"/>
        <c:minorTickMark val="none"/>
        <c:tickLblPos val="nextTo"/>
        <c:spPr>
          <a:ln w="3175">
            <a:solidFill>
              <a:srgbClr val="000000"/>
            </a:solidFill>
            <a:prstDash val="solid"/>
          </a:ln>
        </c:spPr>
        <c:txPr>
          <a:bodyPr rot="0" vert="horz"/>
          <a:lstStyle/>
          <a:p>
            <a:pPr>
              <a:defRPr sz="875" b="0" i="0" u="none" strike="noStrike" baseline="0">
                <a:solidFill>
                  <a:srgbClr val="000000"/>
                </a:solidFill>
                <a:latin typeface="Arial"/>
                <a:ea typeface="Arial"/>
                <a:cs typeface="Arial"/>
              </a:defRPr>
            </a:pPr>
            <a:endParaRPr lang="en-US"/>
          </a:p>
        </c:txPr>
        <c:crossAx val="480998464"/>
        <c:crosses val="autoZero"/>
        <c:auto val="1"/>
        <c:lblAlgn val="ctr"/>
        <c:lblOffset val="100"/>
        <c:tickLblSkip val="1"/>
        <c:tickMarkSkip val="1"/>
        <c:noMultiLvlLbl val="0"/>
      </c:catAx>
      <c:valAx>
        <c:axId val="480998464"/>
        <c:scaling>
          <c:orientation val="minMax"/>
          <c:min val="0"/>
        </c:scaling>
        <c:delete val="0"/>
        <c:axPos val="l"/>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480999640"/>
        <c:crosses val="autoZero"/>
        <c:crossBetween val="between"/>
      </c:valAx>
      <c:spPr>
        <a:solidFill>
          <a:srgbClr val="C0C0C0"/>
        </a:solidFill>
        <a:ln w="12700">
          <a:solidFill>
            <a:srgbClr val="808080"/>
          </a:solidFill>
          <a:prstDash val="solid"/>
        </a:ln>
      </c:spPr>
    </c:plotArea>
    <c:legend>
      <c:legendPos val="r"/>
      <c:legendEntry>
        <c:idx val="0"/>
        <c:txPr>
          <a:bodyPr/>
          <a:lstStyle/>
          <a:p>
            <a:pPr>
              <a:defRPr sz="735" b="0" i="0" u="none" strike="noStrike" baseline="0">
                <a:solidFill>
                  <a:srgbClr val="000000"/>
                </a:solidFill>
                <a:latin typeface="Arial"/>
                <a:ea typeface="Arial"/>
                <a:cs typeface="Arial"/>
              </a:defRPr>
            </a:pPr>
            <a:endParaRPr lang="en-US"/>
          </a:p>
        </c:txPr>
      </c:legendEntry>
      <c:layout>
        <c:manualLayout>
          <c:xMode val="edge"/>
          <c:yMode val="edge"/>
          <c:x val="0.20702634880803208"/>
          <c:y val="0.86567584769440054"/>
          <c:w val="0.59096612296109463"/>
          <c:h val="0.11940356519922445"/>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755" r="0.75000000000000755" t="1" header="0.5" footer="0.5"/>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152895854009845"/>
          <c:y val="9.9010140320767728E-2"/>
          <c:w val="0.86466271227716784"/>
          <c:h val="0.60396185595668361"/>
        </c:manualLayout>
      </c:layout>
      <c:lineChart>
        <c:grouping val="standard"/>
        <c:varyColors val="0"/>
        <c:ser>
          <c:idx val="0"/>
          <c:order val="0"/>
          <c:tx>
            <c:strRef>
              <c:f>Sum!$A$42</c:f>
              <c:strCache>
                <c:ptCount val="1"/>
                <c:pt idx="0">
                  <c:v>    Coverage Ratio - Actual</c:v>
                </c:pt>
              </c:strCache>
            </c:strRef>
          </c:tx>
          <c:spPr>
            <a:ln w="12700">
              <a:solidFill>
                <a:srgbClr val="000080"/>
              </a:solidFill>
              <a:prstDash val="solid"/>
            </a:ln>
          </c:spPr>
          <c:marker>
            <c:symbol val="diamond"/>
            <c:size val="5"/>
            <c:spPr>
              <a:solidFill>
                <a:srgbClr val="000080"/>
              </a:solidFill>
              <a:ln>
                <a:solidFill>
                  <a:srgbClr val="000080"/>
                </a:solidFill>
                <a:prstDash val="solid"/>
              </a:ln>
            </c:spPr>
          </c:marker>
          <c:cat>
            <c:numRef>
              <c:f>Sum!$G$5:$P$5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Sum!$G$188:$P$188</c:f>
              <c:numCache>
                <c:formatCode>_(* #,##0.00_);_(* \(#,##0.00\);_(* "-"??_);_(@_)</c:formatCode>
                <c:ptCount val="10"/>
                <c:pt idx="0">
                  <c:v>17.588592829583952</c:v>
                </c:pt>
                <c:pt idx="1">
                  <c:v>32.816409752114168</c:v>
                </c:pt>
                <c:pt idx="2">
                  <c:v>17.36737891994246</c:v>
                </c:pt>
                <c:pt idx="3">
                  <c:v>11.477076135606509</c:v>
                </c:pt>
                <c:pt idx="4">
                  <c:v>10.953317194887937</c:v>
                </c:pt>
                <c:pt idx="5">
                  <c:v>10.413996641795405</c:v>
                </c:pt>
                <c:pt idx="6">
                  <c:v>9.8585878711196528</c:v>
                </c:pt>
                <c:pt idx="7">
                  <c:v>9.2865469394266036</c:v>
                </c:pt>
                <c:pt idx="8">
                  <c:v>8.6973119652693001</c:v>
                </c:pt>
                <c:pt idx="9">
                  <c:v>8.0903025080726767</c:v>
                </c:pt>
              </c:numCache>
            </c:numRef>
          </c:val>
          <c:smooth val="0"/>
          <c:extLst>
            <c:ext xmlns:c16="http://schemas.microsoft.com/office/drawing/2014/chart" uri="{C3380CC4-5D6E-409C-BE32-E72D297353CC}">
              <c16:uniqueId val="{00000000-D69B-4A61-9999-032944AFABEC}"/>
            </c:ext>
          </c:extLst>
        </c:ser>
        <c:ser>
          <c:idx val="1"/>
          <c:order val="1"/>
          <c:tx>
            <c:strRef>
              <c:f>Sum!$A$43</c:f>
              <c:strCache>
                <c:ptCount val="1"/>
                <c:pt idx="0">
                  <c:v>    Coverage Ratio - Target</c:v>
                </c:pt>
              </c:strCache>
            </c:strRef>
          </c:tx>
          <c:spPr>
            <a:ln w="25400">
              <a:solidFill>
                <a:srgbClr val="FF00FF"/>
              </a:solidFill>
              <a:prstDash val="solid"/>
            </a:ln>
          </c:spPr>
          <c:marker>
            <c:symbol val="none"/>
          </c:marker>
          <c:cat>
            <c:numRef>
              <c:f>Sum!$G$5:$P$5</c:f>
              <c:numCache>
                <c:formatCode>0</c:formatCode>
                <c:ptCount val="10"/>
                <c:pt idx="0">
                  <c:v>2025</c:v>
                </c:pt>
                <c:pt idx="1">
                  <c:v>2026</c:v>
                </c:pt>
                <c:pt idx="2">
                  <c:v>2027</c:v>
                </c:pt>
                <c:pt idx="3">
                  <c:v>2028</c:v>
                </c:pt>
                <c:pt idx="4">
                  <c:v>2029</c:v>
                </c:pt>
                <c:pt idx="5">
                  <c:v>2030</c:v>
                </c:pt>
                <c:pt idx="6">
                  <c:v>2031</c:v>
                </c:pt>
                <c:pt idx="7">
                  <c:v>2032</c:v>
                </c:pt>
                <c:pt idx="8">
                  <c:v>2033</c:v>
                </c:pt>
                <c:pt idx="9">
                  <c:v>2034</c:v>
                </c:pt>
              </c:numCache>
            </c:numRef>
          </c:cat>
          <c:val>
            <c:numRef>
              <c:f>Sum!$G$189:$P$189</c:f>
              <c:numCache>
                <c:formatCode>_(* #,##0.00_);_(* \(#,##0.00\);_(* "-"??_);_(@_)</c:formatCode>
                <c:ptCount val="10"/>
                <c:pt idx="0">
                  <c:v>1.25</c:v>
                </c:pt>
                <c:pt idx="1">
                  <c:v>1.25</c:v>
                </c:pt>
                <c:pt idx="2">
                  <c:v>1.25</c:v>
                </c:pt>
                <c:pt idx="3">
                  <c:v>1.25</c:v>
                </c:pt>
                <c:pt idx="4">
                  <c:v>1.25</c:v>
                </c:pt>
                <c:pt idx="5">
                  <c:v>1.25</c:v>
                </c:pt>
                <c:pt idx="6">
                  <c:v>1.25</c:v>
                </c:pt>
                <c:pt idx="7">
                  <c:v>1.25</c:v>
                </c:pt>
                <c:pt idx="8">
                  <c:v>1.25</c:v>
                </c:pt>
                <c:pt idx="9">
                  <c:v>1.25</c:v>
                </c:pt>
              </c:numCache>
            </c:numRef>
          </c:val>
          <c:smooth val="0"/>
          <c:extLst>
            <c:ext xmlns:c16="http://schemas.microsoft.com/office/drawing/2014/chart" uri="{C3380CC4-5D6E-409C-BE32-E72D297353CC}">
              <c16:uniqueId val="{00000001-D69B-4A61-9999-032944AFABEC}"/>
            </c:ext>
          </c:extLst>
        </c:ser>
        <c:dLbls>
          <c:showLegendKey val="0"/>
          <c:showVal val="0"/>
          <c:showCatName val="0"/>
          <c:showSerName val="0"/>
          <c:showPercent val="0"/>
          <c:showBubbleSize val="0"/>
        </c:dLbls>
        <c:marker val="1"/>
        <c:smooth val="0"/>
        <c:axId val="481001600"/>
        <c:axId val="481001992"/>
      </c:lineChart>
      <c:catAx>
        <c:axId val="481001600"/>
        <c:scaling>
          <c:orientation val="minMax"/>
        </c:scaling>
        <c:delete val="0"/>
        <c:axPos val="b"/>
        <c:numFmt formatCode="0" sourceLinked="1"/>
        <c:majorTickMark val="out"/>
        <c:minorTickMark val="none"/>
        <c:tickLblPos val="nextTo"/>
        <c:spPr>
          <a:ln w="3175">
            <a:solidFill>
              <a:srgbClr val="000000"/>
            </a:solidFill>
            <a:prstDash val="solid"/>
          </a:ln>
        </c:spPr>
        <c:txPr>
          <a:bodyPr rot="0" vert="horz"/>
          <a:lstStyle/>
          <a:p>
            <a:pPr>
              <a:defRPr sz="875" b="0" i="0" u="none" strike="noStrike" baseline="0">
                <a:solidFill>
                  <a:srgbClr val="000000"/>
                </a:solidFill>
                <a:latin typeface="Arial"/>
                <a:ea typeface="Arial"/>
                <a:cs typeface="Arial"/>
              </a:defRPr>
            </a:pPr>
            <a:endParaRPr lang="en-US"/>
          </a:p>
        </c:txPr>
        <c:crossAx val="481001992"/>
        <c:crosses val="autoZero"/>
        <c:auto val="1"/>
        <c:lblAlgn val="ctr"/>
        <c:lblOffset val="100"/>
        <c:tickLblSkip val="1"/>
        <c:tickMarkSkip val="1"/>
        <c:noMultiLvlLbl val="0"/>
      </c:catAx>
      <c:valAx>
        <c:axId val="481001992"/>
        <c:scaling>
          <c:orientation val="minMax"/>
          <c:min val="0.75000000000000755"/>
        </c:scaling>
        <c:delete val="0"/>
        <c:axPos val="l"/>
        <c:majorGridlines>
          <c:spPr>
            <a:ln w="3175">
              <a:solidFill>
                <a:srgbClr val="000000"/>
              </a:solidFill>
              <a:prstDash val="solid"/>
            </a:ln>
          </c:spPr>
        </c:majorGridlines>
        <c:numFmt formatCode="_(* #,##0.00_);_(* \(#,##0.00\);_(* &quot;-&quot;??_);_(@_)"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481001600"/>
        <c:crosses val="autoZero"/>
        <c:crossBetween val="between"/>
      </c:valAx>
      <c:spPr>
        <a:solidFill>
          <a:srgbClr val="C0C0C0"/>
        </a:solidFill>
        <a:ln w="12700">
          <a:solidFill>
            <a:srgbClr val="808080"/>
          </a:solidFill>
          <a:prstDash val="solid"/>
        </a:ln>
      </c:spPr>
    </c:plotArea>
    <c:legend>
      <c:legendPos val="b"/>
      <c:legendEntry>
        <c:idx val="0"/>
        <c:txPr>
          <a:bodyPr/>
          <a:lstStyle/>
          <a:p>
            <a:pPr>
              <a:defRPr sz="735" b="0" i="0" u="none" strike="noStrike" baseline="0">
                <a:solidFill>
                  <a:srgbClr val="000000"/>
                </a:solidFill>
                <a:latin typeface="Arial"/>
                <a:ea typeface="Arial"/>
                <a:cs typeface="Arial"/>
              </a:defRPr>
            </a:pPr>
            <a:endParaRPr lang="en-US"/>
          </a:p>
        </c:txPr>
      </c:legendEntry>
      <c:layout>
        <c:manualLayout>
          <c:xMode val="edge"/>
          <c:yMode val="edge"/>
          <c:x val="0.19799522976781544"/>
          <c:y val="0.8663387278067175"/>
          <c:w val="0.59022628620658868"/>
          <c:h val="9.9010140320767728E-2"/>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755" r="0.75000000000000755" t="1" header="0.5" footer="0.5"/>
    <c:pageSetup/>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3" Type="http://schemas.openxmlformats.org/officeDocument/2006/relationships/chart" Target="../charts/chart11.xml"/><Relationship Id="rId2" Type="http://schemas.openxmlformats.org/officeDocument/2006/relationships/chart" Target="../charts/chart10.xml"/><Relationship Id="rId1" Type="http://schemas.openxmlformats.org/officeDocument/2006/relationships/chart" Target="../charts/chart9.xml"/><Relationship Id="rId6" Type="http://schemas.openxmlformats.org/officeDocument/2006/relationships/chart" Target="../charts/chart14.xml"/><Relationship Id="rId5" Type="http://schemas.openxmlformats.org/officeDocument/2006/relationships/chart" Target="../charts/chart13.xml"/><Relationship Id="rId4"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15</xdr:row>
      <xdr:rowOff>169545</xdr:rowOff>
    </xdr:from>
    <xdr:to>
      <xdr:col>65</xdr:col>
      <xdr:colOff>210856</xdr:colOff>
      <xdr:row>30</xdr:row>
      <xdr:rowOff>129761</xdr:rowOff>
    </xdr:to>
    <xdr:pic>
      <xdr:nvPicPr>
        <xdr:cNvPr id="3" name="Picture 2">
          <a:extLst>
            <a:ext uri="{FF2B5EF4-FFF2-40B4-BE49-F238E27FC236}">
              <a16:creationId xmlns:a16="http://schemas.microsoft.com/office/drawing/2014/main" id="{17329979-48A3-456D-9846-CD5C826FD9BB}"/>
            </a:ext>
          </a:extLst>
        </xdr:cNvPr>
        <xdr:cNvPicPr>
          <a:picLocks noChangeAspect="1"/>
        </xdr:cNvPicPr>
      </xdr:nvPicPr>
      <xdr:blipFill>
        <a:blip xmlns:r="http://schemas.openxmlformats.org/officeDocument/2006/relationships" r:embed="rId1"/>
        <a:stretch>
          <a:fillRect/>
        </a:stretch>
      </xdr:blipFill>
      <xdr:spPr>
        <a:xfrm>
          <a:off x="0" y="2827020"/>
          <a:ext cx="15066046" cy="2535776"/>
        </a:xfrm>
        <a:prstGeom prst="rect">
          <a:avLst/>
        </a:prstGeom>
      </xdr:spPr>
    </xdr:pic>
    <xdr:clientData/>
  </xdr:twoCellAnchor>
  <xdr:twoCellAnchor editAs="oneCell">
    <xdr:from>
      <xdr:col>0</xdr:col>
      <xdr:colOff>0</xdr:colOff>
      <xdr:row>36</xdr:row>
      <xdr:rowOff>163829</xdr:rowOff>
    </xdr:from>
    <xdr:to>
      <xdr:col>65</xdr:col>
      <xdr:colOff>207046</xdr:colOff>
      <xdr:row>52</xdr:row>
      <xdr:rowOff>124438</xdr:rowOff>
    </xdr:to>
    <xdr:pic>
      <xdr:nvPicPr>
        <xdr:cNvPr id="4" name="Picture 3">
          <a:extLst>
            <a:ext uri="{FF2B5EF4-FFF2-40B4-BE49-F238E27FC236}">
              <a16:creationId xmlns:a16="http://schemas.microsoft.com/office/drawing/2014/main" id="{C2DBBF93-6527-4E79-93E9-02372405C4C9}"/>
            </a:ext>
          </a:extLst>
        </xdr:cNvPr>
        <xdr:cNvPicPr>
          <a:picLocks noChangeAspect="1"/>
        </xdr:cNvPicPr>
      </xdr:nvPicPr>
      <xdr:blipFill>
        <a:blip xmlns:r="http://schemas.openxmlformats.org/officeDocument/2006/relationships" r:embed="rId2"/>
        <a:stretch>
          <a:fillRect/>
        </a:stretch>
      </xdr:blipFill>
      <xdr:spPr>
        <a:xfrm>
          <a:off x="0" y="6421754"/>
          <a:ext cx="15066046" cy="27038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171450</xdr:colOff>
      <xdr:row>1</xdr:row>
      <xdr:rowOff>133350</xdr:rowOff>
    </xdr:from>
    <xdr:to>
      <xdr:col>7</xdr:col>
      <xdr:colOff>438150</xdr:colOff>
      <xdr:row>15</xdr:row>
      <xdr:rowOff>47625</xdr:rowOff>
    </xdr:to>
    <xdr:graphicFrame macro="">
      <xdr:nvGraphicFramePr>
        <xdr:cNvPr id="3" name="Chart 2">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171450</xdr:colOff>
      <xdr:row>17</xdr:row>
      <xdr:rowOff>133350</xdr:rowOff>
    </xdr:from>
    <xdr:to>
      <xdr:col>7</xdr:col>
      <xdr:colOff>438150</xdr:colOff>
      <xdr:row>31</xdr:row>
      <xdr:rowOff>76199</xdr:rowOff>
    </xdr:to>
    <xdr:graphicFrame macro="">
      <xdr:nvGraphicFramePr>
        <xdr:cNvPr id="4" name="Chart 3">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200025</xdr:colOff>
      <xdr:row>1</xdr:row>
      <xdr:rowOff>133350</xdr:rowOff>
    </xdr:from>
    <xdr:to>
      <xdr:col>20</xdr:col>
      <xdr:colOff>428625</xdr:colOff>
      <xdr:row>23</xdr:row>
      <xdr:rowOff>0</xdr:rowOff>
    </xdr:to>
    <xdr:graphicFrame macro="">
      <xdr:nvGraphicFramePr>
        <xdr:cNvPr id="6" name="Chart 5">
          <a:extLst>
            <a:ext uri="{FF2B5EF4-FFF2-40B4-BE49-F238E27FC236}">
              <a16:creationId xmlns:a16="http://schemas.microsoft.com/office/drawing/2014/main" id="{00000000-0008-0000-00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200025</xdr:colOff>
      <xdr:row>25</xdr:row>
      <xdr:rowOff>133350</xdr:rowOff>
    </xdr:from>
    <xdr:to>
      <xdr:col>20</xdr:col>
      <xdr:colOff>428625</xdr:colOff>
      <xdr:row>47</xdr:row>
      <xdr:rowOff>0</xdr:rowOff>
    </xdr:to>
    <xdr:graphicFrame macro="">
      <xdr:nvGraphicFramePr>
        <xdr:cNvPr id="8" name="Chart 7">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152400</xdr:colOff>
      <xdr:row>2</xdr:row>
      <xdr:rowOff>0</xdr:rowOff>
    </xdr:from>
    <xdr:to>
      <xdr:col>33</xdr:col>
      <xdr:colOff>381000</xdr:colOff>
      <xdr:row>23</xdr:row>
      <xdr:rowOff>47625</xdr:rowOff>
    </xdr:to>
    <xdr:graphicFrame macro="">
      <xdr:nvGraphicFramePr>
        <xdr:cNvPr id="9" name="Chart 8">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22</xdr:col>
      <xdr:colOff>152400</xdr:colOff>
      <xdr:row>26</xdr:row>
      <xdr:rowOff>0</xdr:rowOff>
    </xdr:from>
    <xdr:to>
      <xdr:col>33</xdr:col>
      <xdr:colOff>381000</xdr:colOff>
      <xdr:row>47</xdr:row>
      <xdr:rowOff>47625</xdr:rowOff>
    </xdr:to>
    <xdr:graphicFrame macro="">
      <xdr:nvGraphicFramePr>
        <xdr:cNvPr id="10" name="Chart 9">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9</xdr:col>
      <xdr:colOff>200025</xdr:colOff>
      <xdr:row>50</xdr:row>
      <xdr:rowOff>133350</xdr:rowOff>
    </xdr:from>
    <xdr:to>
      <xdr:col>20</xdr:col>
      <xdr:colOff>428625</xdr:colOff>
      <xdr:row>72</xdr:row>
      <xdr:rowOff>0</xdr:rowOff>
    </xdr:to>
    <xdr:graphicFrame macro="">
      <xdr:nvGraphicFramePr>
        <xdr:cNvPr id="12" name="Chart 11">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22</xdr:col>
      <xdr:colOff>161924</xdr:colOff>
      <xdr:row>50</xdr:row>
      <xdr:rowOff>161924</xdr:rowOff>
    </xdr:from>
    <xdr:to>
      <xdr:col>31</xdr:col>
      <xdr:colOff>438149</xdr:colOff>
      <xdr:row>79</xdr:row>
      <xdr:rowOff>38099</xdr:rowOff>
    </xdr:to>
    <xdr:graphicFrame macro="">
      <xdr:nvGraphicFramePr>
        <xdr:cNvPr id="15" name="Chart 14">
          <a:extLst>
            <a:ext uri="{FF2B5EF4-FFF2-40B4-BE49-F238E27FC236}">
              <a16:creationId xmlns:a16="http://schemas.microsoft.com/office/drawing/2014/main" id="{00000000-0008-0000-00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5</xdr:col>
      <xdr:colOff>132907</xdr:colOff>
      <xdr:row>45</xdr:row>
      <xdr:rowOff>66675</xdr:rowOff>
    </xdr:from>
    <xdr:to>
      <xdr:col>16</xdr:col>
      <xdr:colOff>57149</xdr:colOff>
      <xdr:row>57</xdr:row>
      <xdr:rowOff>38100</xdr:rowOff>
    </xdr:to>
    <xdr:graphicFrame macro="">
      <xdr:nvGraphicFramePr>
        <xdr:cNvPr id="1252" name="Chart 228">
          <a:extLst>
            <a:ext uri="{FF2B5EF4-FFF2-40B4-BE49-F238E27FC236}">
              <a16:creationId xmlns:a16="http://schemas.microsoft.com/office/drawing/2014/main" id="{00000000-0008-0000-0100-0000E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110756</xdr:colOff>
      <xdr:row>57</xdr:row>
      <xdr:rowOff>142875</xdr:rowOff>
    </xdr:from>
    <xdr:to>
      <xdr:col>16</xdr:col>
      <xdr:colOff>28575</xdr:colOff>
      <xdr:row>69</xdr:row>
      <xdr:rowOff>123825</xdr:rowOff>
    </xdr:to>
    <xdr:graphicFrame macro="">
      <xdr:nvGraphicFramePr>
        <xdr:cNvPr id="1342" name="Chart 318">
          <a:extLst>
            <a:ext uri="{FF2B5EF4-FFF2-40B4-BE49-F238E27FC236}">
              <a16:creationId xmlns:a16="http://schemas.microsoft.com/office/drawing/2014/main" id="{00000000-0008-0000-0100-00003E05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132907</xdr:colOff>
      <xdr:row>118</xdr:row>
      <xdr:rowOff>66675</xdr:rowOff>
    </xdr:from>
    <xdr:to>
      <xdr:col>16</xdr:col>
      <xdr:colOff>19050</xdr:colOff>
      <xdr:row>130</xdr:row>
      <xdr:rowOff>38100</xdr:rowOff>
    </xdr:to>
    <xdr:graphicFrame macro="">
      <xdr:nvGraphicFramePr>
        <xdr:cNvPr id="1381" name="Chart 357">
          <a:extLst>
            <a:ext uri="{FF2B5EF4-FFF2-40B4-BE49-F238E27FC236}">
              <a16:creationId xmlns:a16="http://schemas.microsoft.com/office/drawing/2014/main" id="{00000000-0008-0000-0100-00006505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132907</xdr:colOff>
      <xdr:row>131</xdr:row>
      <xdr:rowOff>28575</xdr:rowOff>
    </xdr:from>
    <xdr:to>
      <xdr:col>16</xdr:col>
      <xdr:colOff>9525</xdr:colOff>
      <xdr:row>143</xdr:row>
      <xdr:rowOff>9525</xdr:rowOff>
    </xdr:to>
    <xdr:graphicFrame macro="">
      <xdr:nvGraphicFramePr>
        <xdr:cNvPr id="1382" name="Chart 358">
          <a:extLst>
            <a:ext uri="{FF2B5EF4-FFF2-40B4-BE49-F238E27FC236}">
              <a16:creationId xmlns:a16="http://schemas.microsoft.com/office/drawing/2014/main" id="{00000000-0008-0000-0100-00006605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77529</xdr:colOff>
      <xdr:row>191</xdr:row>
      <xdr:rowOff>47625</xdr:rowOff>
    </xdr:from>
    <xdr:to>
      <xdr:col>15</xdr:col>
      <xdr:colOff>904875</xdr:colOff>
      <xdr:row>203</xdr:row>
      <xdr:rowOff>19050</xdr:rowOff>
    </xdr:to>
    <xdr:graphicFrame macro="">
      <xdr:nvGraphicFramePr>
        <xdr:cNvPr id="1383" name="Chart 359">
          <a:extLst>
            <a:ext uri="{FF2B5EF4-FFF2-40B4-BE49-F238E27FC236}">
              <a16:creationId xmlns:a16="http://schemas.microsoft.com/office/drawing/2014/main" id="{00000000-0008-0000-0100-00006705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55378</xdr:colOff>
      <xdr:row>203</xdr:row>
      <xdr:rowOff>85725</xdr:rowOff>
    </xdr:from>
    <xdr:to>
      <xdr:col>16</xdr:col>
      <xdr:colOff>9525</xdr:colOff>
      <xdr:row>215</xdr:row>
      <xdr:rowOff>66675</xdr:rowOff>
    </xdr:to>
    <xdr:graphicFrame macro="">
      <xdr:nvGraphicFramePr>
        <xdr:cNvPr id="1384" name="Chart 360">
          <a:extLst>
            <a:ext uri="{FF2B5EF4-FFF2-40B4-BE49-F238E27FC236}">
              <a16:creationId xmlns:a16="http://schemas.microsoft.com/office/drawing/2014/main" id="{00000000-0008-0000-0100-00006805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4.xml><?xml version="1.0" encoding="utf-8"?>
<xdr:wsDr xmlns:xdr="http://schemas.openxmlformats.org/drawingml/2006/spreadsheetDrawing" xmlns:a="http://schemas.openxmlformats.org/drawingml/2006/main">
  <xdr:oneCellAnchor>
    <xdr:from>
      <xdr:col>4</xdr:col>
      <xdr:colOff>0</xdr:colOff>
      <xdr:row>247</xdr:row>
      <xdr:rowOff>0</xdr:rowOff>
    </xdr:from>
    <xdr:ext cx="76200" cy="203329"/>
    <xdr:sp macro="" textlink="">
      <xdr:nvSpPr>
        <xdr:cNvPr id="32769" name="Text Box 1">
          <a:extLst>
            <a:ext uri="{FF2B5EF4-FFF2-40B4-BE49-F238E27FC236}">
              <a16:creationId xmlns:a16="http://schemas.microsoft.com/office/drawing/2014/main" id="{00000000-0008-0000-0800-000001800000}"/>
            </a:ext>
          </a:extLst>
        </xdr:cNvPr>
        <xdr:cNvSpPr txBox="1">
          <a:spLocks noChangeArrowheads="1"/>
        </xdr:cNvSpPr>
      </xdr:nvSpPr>
      <xdr:spPr bwMode="auto">
        <a:xfrm>
          <a:off x="2924175" y="30699075"/>
          <a:ext cx="76200" cy="200025"/>
        </a:xfrm>
        <a:prstGeom prst="rect">
          <a:avLst/>
        </a:prstGeom>
        <a:noFill/>
        <a:ln w="9525">
          <a:noFill/>
          <a:miter lim="800000"/>
          <a:headEnd/>
          <a:tailEnd/>
        </a:ln>
      </xdr:spPr>
    </xdr:sp>
    <xdr:clientData/>
  </xdr:oneCellAnchor>
  <xdr:oneCellAnchor>
    <xdr:from>
      <xdr:col>4</xdr:col>
      <xdr:colOff>0</xdr:colOff>
      <xdr:row>247</xdr:row>
      <xdr:rowOff>0</xdr:rowOff>
    </xdr:from>
    <xdr:ext cx="76200" cy="203329"/>
    <xdr:sp macro="" textlink="">
      <xdr:nvSpPr>
        <xdr:cNvPr id="32770" name="Text Box 2">
          <a:extLst>
            <a:ext uri="{FF2B5EF4-FFF2-40B4-BE49-F238E27FC236}">
              <a16:creationId xmlns:a16="http://schemas.microsoft.com/office/drawing/2014/main" id="{00000000-0008-0000-0800-000002800000}"/>
            </a:ext>
          </a:extLst>
        </xdr:cNvPr>
        <xdr:cNvSpPr txBox="1">
          <a:spLocks noChangeArrowheads="1"/>
        </xdr:cNvSpPr>
      </xdr:nvSpPr>
      <xdr:spPr bwMode="auto">
        <a:xfrm>
          <a:off x="2924175" y="30699075"/>
          <a:ext cx="76200" cy="200025"/>
        </a:xfrm>
        <a:prstGeom prst="rect">
          <a:avLst/>
        </a:prstGeom>
        <a:noFill/>
        <a:ln w="9525">
          <a:noFill/>
          <a:miter lim="800000"/>
          <a:headEnd/>
          <a:tailEnd/>
        </a:ln>
      </xdr:spPr>
    </xdr:sp>
    <xdr:clientData/>
  </xdr:oneCellAnchor>
  <xdr:oneCellAnchor>
    <xdr:from>
      <xdr:col>4</xdr:col>
      <xdr:colOff>0</xdr:colOff>
      <xdr:row>247</xdr:row>
      <xdr:rowOff>0</xdr:rowOff>
    </xdr:from>
    <xdr:ext cx="76200" cy="203524"/>
    <xdr:sp macro="" textlink="">
      <xdr:nvSpPr>
        <xdr:cNvPr id="32771" name="Text Box 3">
          <a:extLst>
            <a:ext uri="{FF2B5EF4-FFF2-40B4-BE49-F238E27FC236}">
              <a16:creationId xmlns:a16="http://schemas.microsoft.com/office/drawing/2014/main" id="{00000000-0008-0000-0800-000003800000}"/>
            </a:ext>
          </a:extLst>
        </xdr:cNvPr>
        <xdr:cNvSpPr txBox="1">
          <a:spLocks noChangeArrowheads="1"/>
        </xdr:cNvSpPr>
      </xdr:nvSpPr>
      <xdr:spPr bwMode="auto">
        <a:xfrm>
          <a:off x="2924175" y="4686300"/>
          <a:ext cx="76200" cy="200025"/>
        </a:xfrm>
        <a:prstGeom prst="rect">
          <a:avLst/>
        </a:prstGeom>
        <a:noFill/>
        <a:ln w="9525">
          <a:noFill/>
          <a:miter lim="800000"/>
          <a:headEnd/>
          <a:tailEnd/>
        </a:ln>
      </xdr:spPr>
    </xdr:sp>
    <xdr:clientData/>
  </xdr:oneCellAnchor>
  <xdr:oneCellAnchor>
    <xdr:from>
      <xdr:col>4</xdr:col>
      <xdr:colOff>0</xdr:colOff>
      <xdr:row>247</xdr:row>
      <xdr:rowOff>0</xdr:rowOff>
    </xdr:from>
    <xdr:ext cx="76200" cy="203524"/>
    <xdr:sp macro="" textlink="">
      <xdr:nvSpPr>
        <xdr:cNvPr id="32772" name="Text Box 4">
          <a:extLst>
            <a:ext uri="{FF2B5EF4-FFF2-40B4-BE49-F238E27FC236}">
              <a16:creationId xmlns:a16="http://schemas.microsoft.com/office/drawing/2014/main" id="{00000000-0008-0000-0800-000004800000}"/>
            </a:ext>
          </a:extLst>
        </xdr:cNvPr>
        <xdr:cNvSpPr txBox="1">
          <a:spLocks noChangeArrowheads="1"/>
        </xdr:cNvSpPr>
      </xdr:nvSpPr>
      <xdr:spPr bwMode="auto">
        <a:xfrm>
          <a:off x="2924175" y="20697825"/>
          <a:ext cx="76200" cy="200025"/>
        </a:xfrm>
        <a:prstGeom prst="rect">
          <a:avLst/>
        </a:prstGeom>
        <a:noFill/>
        <a:ln w="9525">
          <a:noFill/>
          <a:miter lim="800000"/>
          <a:headEnd/>
          <a:tailEnd/>
        </a:ln>
      </xdr:spPr>
    </xdr:sp>
    <xdr:clientData/>
  </xdr:oneCellAnchor>
  <xdr:oneCellAnchor>
    <xdr:from>
      <xdr:col>4</xdr:col>
      <xdr:colOff>0</xdr:colOff>
      <xdr:row>247</xdr:row>
      <xdr:rowOff>0</xdr:rowOff>
    </xdr:from>
    <xdr:ext cx="76200" cy="203524"/>
    <xdr:sp macro="" textlink="">
      <xdr:nvSpPr>
        <xdr:cNvPr id="6" name="Text Box 3">
          <a:extLst>
            <a:ext uri="{FF2B5EF4-FFF2-40B4-BE49-F238E27FC236}">
              <a16:creationId xmlns:a16="http://schemas.microsoft.com/office/drawing/2014/main" id="{00000000-0008-0000-0800-000006000000}"/>
            </a:ext>
          </a:extLst>
        </xdr:cNvPr>
        <xdr:cNvSpPr txBox="1">
          <a:spLocks noChangeArrowheads="1"/>
        </xdr:cNvSpPr>
      </xdr:nvSpPr>
      <xdr:spPr bwMode="auto">
        <a:xfrm>
          <a:off x="2935255" y="5479402"/>
          <a:ext cx="76200" cy="203524"/>
        </a:xfrm>
        <a:prstGeom prst="rect">
          <a:avLst/>
        </a:prstGeom>
        <a:noFill/>
        <a:ln w="9525">
          <a:noFill/>
          <a:miter lim="800000"/>
          <a:headEnd/>
          <a:tailEnd/>
        </a:ln>
      </xdr:spPr>
    </xdr:sp>
    <xdr:clientData/>
  </xdr:oneCellAnchor>
  <xdr:oneCellAnchor>
    <xdr:from>
      <xdr:col>4</xdr:col>
      <xdr:colOff>0</xdr:colOff>
      <xdr:row>247</xdr:row>
      <xdr:rowOff>0</xdr:rowOff>
    </xdr:from>
    <xdr:ext cx="76200" cy="203524"/>
    <xdr:sp macro="" textlink="">
      <xdr:nvSpPr>
        <xdr:cNvPr id="7" name="Text Box 3">
          <a:extLst>
            <a:ext uri="{FF2B5EF4-FFF2-40B4-BE49-F238E27FC236}">
              <a16:creationId xmlns:a16="http://schemas.microsoft.com/office/drawing/2014/main" id="{00000000-0008-0000-0800-000007000000}"/>
            </a:ext>
          </a:extLst>
        </xdr:cNvPr>
        <xdr:cNvSpPr txBox="1">
          <a:spLocks noChangeArrowheads="1"/>
        </xdr:cNvSpPr>
      </xdr:nvSpPr>
      <xdr:spPr bwMode="auto">
        <a:xfrm>
          <a:off x="2935255" y="5479402"/>
          <a:ext cx="76200" cy="203524"/>
        </a:xfrm>
        <a:prstGeom prst="rect">
          <a:avLst/>
        </a:prstGeom>
        <a:noFill/>
        <a:ln w="9525">
          <a:noFill/>
          <a:miter lim="800000"/>
          <a:headEnd/>
          <a:tailEnd/>
        </a:ln>
      </xdr:spPr>
    </xdr:sp>
    <xdr:clientData/>
  </xdr:oneCellAnchor>
</xdr:wsDr>
</file>

<file path=xl/drawings/drawing5.xml><?xml version="1.0" encoding="utf-8"?>
<xdr:wsDr xmlns:xdr="http://schemas.openxmlformats.org/drawingml/2006/spreadsheetDrawing" xmlns:a="http://schemas.openxmlformats.org/drawingml/2006/main">
  <xdr:oneCellAnchor>
    <xdr:from>
      <xdr:col>4</xdr:col>
      <xdr:colOff>0</xdr:colOff>
      <xdr:row>16</xdr:row>
      <xdr:rowOff>0</xdr:rowOff>
    </xdr:from>
    <xdr:ext cx="76200" cy="206375"/>
    <xdr:sp macro="" textlink="">
      <xdr:nvSpPr>
        <xdr:cNvPr id="14375" name="Text Box 39">
          <a:extLst>
            <a:ext uri="{FF2B5EF4-FFF2-40B4-BE49-F238E27FC236}">
              <a16:creationId xmlns:a16="http://schemas.microsoft.com/office/drawing/2014/main" id="{00000000-0008-0000-0B00-000027380000}"/>
            </a:ext>
          </a:extLst>
        </xdr:cNvPr>
        <xdr:cNvSpPr txBox="1">
          <a:spLocks noChangeArrowheads="1"/>
        </xdr:cNvSpPr>
      </xdr:nvSpPr>
      <xdr:spPr bwMode="auto">
        <a:xfrm>
          <a:off x="2924175" y="2590800"/>
          <a:ext cx="76200" cy="209550"/>
        </a:xfrm>
        <a:prstGeom prst="rect">
          <a:avLst/>
        </a:prstGeom>
        <a:noFill/>
        <a:ln w="9525">
          <a:noFill/>
          <a:miter lim="800000"/>
          <a:headEnd/>
          <a:tailEnd/>
        </a:ln>
      </xdr:spPr>
    </xdr:sp>
    <xdr:clientData/>
  </xdr:oneCellAnchor>
  <xdr:oneCellAnchor>
    <xdr:from>
      <xdr:col>4</xdr:col>
      <xdr:colOff>0</xdr:colOff>
      <xdr:row>166</xdr:row>
      <xdr:rowOff>0</xdr:rowOff>
    </xdr:from>
    <xdr:ext cx="76200" cy="206375"/>
    <xdr:sp macro="" textlink="">
      <xdr:nvSpPr>
        <xdr:cNvPr id="14376" name="Text Box 40">
          <a:extLst>
            <a:ext uri="{FF2B5EF4-FFF2-40B4-BE49-F238E27FC236}">
              <a16:creationId xmlns:a16="http://schemas.microsoft.com/office/drawing/2014/main" id="{00000000-0008-0000-0B00-000028380000}"/>
            </a:ext>
          </a:extLst>
        </xdr:cNvPr>
        <xdr:cNvSpPr txBox="1">
          <a:spLocks noChangeArrowheads="1"/>
        </xdr:cNvSpPr>
      </xdr:nvSpPr>
      <xdr:spPr bwMode="auto">
        <a:xfrm>
          <a:off x="2924175" y="10687050"/>
          <a:ext cx="76200" cy="209550"/>
        </a:xfrm>
        <a:prstGeom prst="rect">
          <a:avLst/>
        </a:prstGeom>
        <a:noFill/>
        <a:ln w="9525">
          <a:noFill/>
          <a:miter lim="800000"/>
          <a:headEnd/>
          <a:tailEnd/>
        </a:ln>
      </xdr:spPr>
    </xdr:sp>
    <xdr:clientData/>
  </xdr:oneCellAnchor>
  <xdr:oneCellAnchor>
    <xdr:from>
      <xdr:col>4</xdr:col>
      <xdr:colOff>0</xdr:colOff>
      <xdr:row>386</xdr:row>
      <xdr:rowOff>0</xdr:rowOff>
    </xdr:from>
    <xdr:ext cx="76200" cy="206375"/>
    <xdr:sp macro="" textlink="">
      <xdr:nvSpPr>
        <xdr:cNvPr id="14377" name="Text Box 41">
          <a:extLst>
            <a:ext uri="{FF2B5EF4-FFF2-40B4-BE49-F238E27FC236}">
              <a16:creationId xmlns:a16="http://schemas.microsoft.com/office/drawing/2014/main" id="{00000000-0008-0000-0B00-000029380000}"/>
            </a:ext>
          </a:extLst>
        </xdr:cNvPr>
        <xdr:cNvSpPr txBox="1">
          <a:spLocks noChangeArrowheads="1"/>
        </xdr:cNvSpPr>
      </xdr:nvSpPr>
      <xdr:spPr bwMode="auto">
        <a:xfrm>
          <a:off x="2924175" y="30118050"/>
          <a:ext cx="76200" cy="209550"/>
        </a:xfrm>
        <a:prstGeom prst="rect">
          <a:avLst/>
        </a:prstGeom>
        <a:noFill/>
        <a:ln w="9525">
          <a:noFill/>
          <a:miter lim="800000"/>
          <a:headEnd/>
          <a:tailEnd/>
        </a:ln>
      </xdr:spPr>
    </xdr:sp>
    <xdr:clientData/>
  </xdr:oneCellAnchor>
  <xdr:oneCellAnchor>
    <xdr:from>
      <xdr:col>4</xdr:col>
      <xdr:colOff>0</xdr:colOff>
      <xdr:row>192</xdr:row>
      <xdr:rowOff>0</xdr:rowOff>
    </xdr:from>
    <xdr:ext cx="76200" cy="206375"/>
    <xdr:sp macro="" textlink="">
      <xdr:nvSpPr>
        <xdr:cNvPr id="14378" name="Text Box 42">
          <a:extLst>
            <a:ext uri="{FF2B5EF4-FFF2-40B4-BE49-F238E27FC236}">
              <a16:creationId xmlns:a16="http://schemas.microsoft.com/office/drawing/2014/main" id="{00000000-0008-0000-0B00-00002A380000}"/>
            </a:ext>
          </a:extLst>
        </xdr:cNvPr>
        <xdr:cNvSpPr txBox="1">
          <a:spLocks noChangeArrowheads="1"/>
        </xdr:cNvSpPr>
      </xdr:nvSpPr>
      <xdr:spPr bwMode="auto">
        <a:xfrm>
          <a:off x="2924175" y="14897100"/>
          <a:ext cx="76200" cy="209550"/>
        </a:xfrm>
        <a:prstGeom prst="rect">
          <a:avLst/>
        </a:prstGeom>
        <a:noFill/>
        <a:ln w="9525">
          <a:noFill/>
          <a:miter lim="800000"/>
          <a:headEnd/>
          <a:tailEnd/>
        </a:ln>
      </xdr:spPr>
    </xdr:sp>
    <xdr:clientData/>
  </xdr:oneCellAnchor>
  <xdr:oneCellAnchor>
    <xdr:from>
      <xdr:col>4</xdr:col>
      <xdr:colOff>0</xdr:colOff>
      <xdr:row>192</xdr:row>
      <xdr:rowOff>0</xdr:rowOff>
    </xdr:from>
    <xdr:ext cx="76200" cy="206375"/>
    <xdr:sp macro="" textlink="">
      <xdr:nvSpPr>
        <xdr:cNvPr id="14379" name="Text Box 43">
          <a:extLst>
            <a:ext uri="{FF2B5EF4-FFF2-40B4-BE49-F238E27FC236}">
              <a16:creationId xmlns:a16="http://schemas.microsoft.com/office/drawing/2014/main" id="{00000000-0008-0000-0B00-00002B380000}"/>
            </a:ext>
          </a:extLst>
        </xdr:cNvPr>
        <xdr:cNvSpPr txBox="1">
          <a:spLocks noChangeArrowheads="1"/>
        </xdr:cNvSpPr>
      </xdr:nvSpPr>
      <xdr:spPr bwMode="auto">
        <a:xfrm>
          <a:off x="2924175" y="14897100"/>
          <a:ext cx="76200" cy="209550"/>
        </a:xfrm>
        <a:prstGeom prst="rect">
          <a:avLst/>
        </a:prstGeom>
        <a:noFill/>
        <a:ln w="9525">
          <a:noFill/>
          <a:miter lim="800000"/>
          <a:headEnd/>
          <a:tailEnd/>
        </a:ln>
      </xdr:spPr>
    </xdr:sp>
    <xdr:clientData/>
  </xdr:oneCellAnchor>
  <xdr:oneCellAnchor>
    <xdr:from>
      <xdr:col>4</xdr:col>
      <xdr:colOff>0</xdr:colOff>
      <xdr:row>17</xdr:row>
      <xdr:rowOff>0</xdr:rowOff>
    </xdr:from>
    <xdr:ext cx="76200" cy="206375"/>
    <xdr:sp macro="" textlink="">
      <xdr:nvSpPr>
        <xdr:cNvPr id="7" name="Text Box 39">
          <a:extLst>
            <a:ext uri="{FF2B5EF4-FFF2-40B4-BE49-F238E27FC236}">
              <a16:creationId xmlns:a16="http://schemas.microsoft.com/office/drawing/2014/main" id="{00000000-0008-0000-0B00-000007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18</xdr:row>
      <xdr:rowOff>0</xdr:rowOff>
    </xdr:from>
    <xdr:ext cx="76200" cy="206375"/>
    <xdr:sp macro="" textlink="">
      <xdr:nvSpPr>
        <xdr:cNvPr id="8" name="Text Box 39">
          <a:extLst>
            <a:ext uri="{FF2B5EF4-FFF2-40B4-BE49-F238E27FC236}">
              <a16:creationId xmlns:a16="http://schemas.microsoft.com/office/drawing/2014/main" id="{00000000-0008-0000-0B00-000008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19</xdr:row>
      <xdr:rowOff>0</xdr:rowOff>
    </xdr:from>
    <xdr:ext cx="76200" cy="206375"/>
    <xdr:sp macro="" textlink="">
      <xdr:nvSpPr>
        <xdr:cNvPr id="9" name="Text Box 39">
          <a:extLst>
            <a:ext uri="{FF2B5EF4-FFF2-40B4-BE49-F238E27FC236}">
              <a16:creationId xmlns:a16="http://schemas.microsoft.com/office/drawing/2014/main" id="{00000000-0008-0000-0B00-000009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20</xdr:row>
      <xdr:rowOff>0</xdr:rowOff>
    </xdr:from>
    <xdr:ext cx="76200" cy="206375"/>
    <xdr:sp macro="" textlink="">
      <xdr:nvSpPr>
        <xdr:cNvPr id="10" name="Text Box 39">
          <a:extLst>
            <a:ext uri="{FF2B5EF4-FFF2-40B4-BE49-F238E27FC236}">
              <a16:creationId xmlns:a16="http://schemas.microsoft.com/office/drawing/2014/main" id="{00000000-0008-0000-0B00-00000A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21</xdr:row>
      <xdr:rowOff>0</xdr:rowOff>
    </xdr:from>
    <xdr:ext cx="76200" cy="206375"/>
    <xdr:sp macro="" textlink="">
      <xdr:nvSpPr>
        <xdr:cNvPr id="11" name="Text Box 39">
          <a:extLst>
            <a:ext uri="{FF2B5EF4-FFF2-40B4-BE49-F238E27FC236}">
              <a16:creationId xmlns:a16="http://schemas.microsoft.com/office/drawing/2014/main" id="{00000000-0008-0000-0B00-00000B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22</xdr:row>
      <xdr:rowOff>0</xdr:rowOff>
    </xdr:from>
    <xdr:ext cx="76200" cy="206375"/>
    <xdr:sp macro="" textlink="">
      <xdr:nvSpPr>
        <xdr:cNvPr id="12" name="Text Box 39">
          <a:extLst>
            <a:ext uri="{FF2B5EF4-FFF2-40B4-BE49-F238E27FC236}">
              <a16:creationId xmlns:a16="http://schemas.microsoft.com/office/drawing/2014/main" id="{00000000-0008-0000-0B00-00000C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23</xdr:row>
      <xdr:rowOff>0</xdr:rowOff>
    </xdr:from>
    <xdr:ext cx="76200" cy="206375"/>
    <xdr:sp macro="" textlink="">
      <xdr:nvSpPr>
        <xdr:cNvPr id="13" name="Text Box 39">
          <a:extLst>
            <a:ext uri="{FF2B5EF4-FFF2-40B4-BE49-F238E27FC236}">
              <a16:creationId xmlns:a16="http://schemas.microsoft.com/office/drawing/2014/main" id="{00000000-0008-0000-0B00-00000D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24</xdr:row>
      <xdr:rowOff>0</xdr:rowOff>
    </xdr:from>
    <xdr:ext cx="76200" cy="206375"/>
    <xdr:sp macro="" textlink="">
      <xdr:nvSpPr>
        <xdr:cNvPr id="14" name="Text Box 39">
          <a:extLst>
            <a:ext uri="{FF2B5EF4-FFF2-40B4-BE49-F238E27FC236}">
              <a16:creationId xmlns:a16="http://schemas.microsoft.com/office/drawing/2014/main" id="{00000000-0008-0000-0B00-00000E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25</xdr:row>
      <xdr:rowOff>0</xdr:rowOff>
    </xdr:from>
    <xdr:ext cx="76200" cy="206375"/>
    <xdr:sp macro="" textlink="">
      <xdr:nvSpPr>
        <xdr:cNvPr id="15" name="Text Box 39">
          <a:extLst>
            <a:ext uri="{FF2B5EF4-FFF2-40B4-BE49-F238E27FC236}">
              <a16:creationId xmlns:a16="http://schemas.microsoft.com/office/drawing/2014/main" id="{00000000-0008-0000-0B00-00000F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26</xdr:row>
      <xdr:rowOff>0</xdr:rowOff>
    </xdr:from>
    <xdr:ext cx="76200" cy="206375"/>
    <xdr:sp macro="" textlink="">
      <xdr:nvSpPr>
        <xdr:cNvPr id="16" name="Text Box 39">
          <a:extLst>
            <a:ext uri="{FF2B5EF4-FFF2-40B4-BE49-F238E27FC236}">
              <a16:creationId xmlns:a16="http://schemas.microsoft.com/office/drawing/2014/main" id="{00000000-0008-0000-0B00-000010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27</xdr:row>
      <xdr:rowOff>0</xdr:rowOff>
    </xdr:from>
    <xdr:ext cx="76200" cy="206375"/>
    <xdr:sp macro="" textlink="">
      <xdr:nvSpPr>
        <xdr:cNvPr id="17" name="Text Box 39">
          <a:extLst>
            <a:ext uri="{FF2B5EF4-FFF2-40B4-BE49-F238E27FC236}">
              <a16:creationId xmlns:a16="http://schemas.microsoft.com/office/drawing/2014/main" id="{00000000-0008-0000-0B00-000011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28</xdr:row>
      <xdr:rowOff>0</xdr:rowOff>
    </xdr:from>
    <xdr:ext cx="76200" cy="206375"/>
    <xdr:sp macro="" textlink="">
      <xdr:nvSpPr>
        <xdr:cNvPr id="18" name="Text Box 39">
          <a:extLst>
            <a:ext uri="{FF2B5EF4-FFF2-40B4-BE49-F238E27FC236}">
              <a16:creationId xmlns:a16="http://schemas.microsoft.com/office/drawing/2014/main" id="{00000000-0008-0000-0B00-000012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29</xdr:row>
      <xdr:rowOff>0</xdr:rowOff>
    </xdr:from>
    <xdr:ext cx="76200" cy="206375"/>
    <xdr:sp macro="" textlink="">
      <xdr:nvSpPr>
        <xdr:cNvPr id="19" name="Text Box 39">
          <a:extLst>
            <a:ext uri="{FF2B5EF4-FFF2-40B4-BE49-F238E27FC236}">
              <a16:creationId xmlns:a16="http://schemas.microsoft.com/office/drawing/2014/main" id="{00000000-0008-0000-0B00-000013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30</xdr:row>
      <xdr:rowOff>0</xdr:rowOff>
    </xdr:from>
    <xdr:ext cx="76200" cy="206375"/>
    <xdr:sp macro="" textlink="">
      <xdr:nvSpPr>
        <xdr:cNvPr id="20" name="Text Box 39">
          <a:extLst>
            <a:ext uri="{FF2B5EF4-FFF2-40B4-BE49-F238E27FC236}">
              <a16:creationId xmlns:a16="http://schemas.microsoft.com/office/drawing/2014/main" id="{00000000-0008-0000-0B00-000014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31</xdr:row>
      <xdr:rowOff>0</xdr:rowOff>
    </xdr:from>
    <xdr:ext cx="76200" cy="206375"/>
    <xdr:sp macro="" textlink="">
      <xdr:nvSpPr>
        <xdr:cNvPr id="21" name="Text Box 39">
          <a:extLst>
            <a:ext uri="{FF2B5EF4-FFF2-40B4-BE49-F238E27FC236}">
              <a16:creationId xmlns:a16="http://schemas.microsoft.com/office/drawing/2014/main" id="{00000000-0008-0000-0B00-000015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32</xdr:row>
      <xdr:rowOff>0</xdr:rowOff>
    </xdr:from>
    <xdr:ext cx="76200" cy="206375"/>
    <xdr:sp macro="" textlink="">
      <xdr:nvSpPr>
        <xdr:cNvPr id="22" name="Text Box 39">
          <a:extLst>
            <a:ext uri="{FF2B5EF4-FFF2-40B4-BE49-F238E27FC236}">
              <a16:creationId xmlns:a16="http://schemas.microsoft.com/office/drawing/2014/main" id="{00000000-0008-0000-0B00-000016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33</xdr:row>
      <xdr:rowOff>0</xdr:rowOff>
    </xdr:from>
    <xdr:ext cx="76200" cy="206375"/>
    <xdr:sp macro="" textlink="">
      <xdr:nvSpPr>
        <xdr:cNvPr id="23" name="Text Box 39">
          <a:extLst>
            <a:ext uri="{FF2B5EF4-FFF2-40B4-BE49-F238E27FC236}">
              <a16:creationId xmlns:a16="http://schemas.microsoft.com/office/drawing/2014/main" id="{00000000-0008-0000-0B00-000017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34</xdr:row>
      <xdr:rowOff>0</xdr:rowOff>
    </xdr:from>
    <xdr:ext cx="76200" cy="206375"/>
    <xdr:sp macro="" textlink="">
      <xdr:nvSpPr>
        <xdr:cNvPr id="24" name="Text Box 39">
          <a:extLst>
            <a:ext uri="{FF2B5EF4-FFF2-40B4-BE49-F238E27FC236}">
              <a16:creationId xmlns:a16="http://schemas.microsoft.com/office/drawing/2014/main" id="{00000000-0008-0000-0B00-000018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35</xdr:row>
      <xdr:rowOff>0</xdr:rowOff>
    </xdr:from>
    <xdr:ext cx="76200" cy="206375"/>
    <xdr:sp macro="" textlink="">
      <xdr:nvSpPr>
        <xdr:cNvPr id="25" name="Text Box 39">
          <a:extLst>
            <a:ext uri="{FF2B5EF4-FFF2-40B4-BE49-F238E27FC236}">
              <a16:creationId xmlns:a16="http://schemas.microsoft.com/office/drawing/2014/main" id="{00000000-0008-0000-0B00-000019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36</xdr:row>
      <xdr:rowOff>0</xdr:rowOff>
    </xdr:from>
    <xdr:ext cx="76200" cy="206375"/>
    <xdr:sp macro="" textlink="">
      <xdr:nvSpPr>
        <xdr:cNvPr id="26" name="Text Box 39">
          <a:extLst>
            <a:ext uri="{FF2B5EF4-FFF2-40B4-BE49-F238E27FC236}">
              <a16:creationId xmlns:a16="http://schemas.microsoft.com/office/drawing/2014/main" id="{00000000-0008-0000-0B00-00001A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37</xdr:row>
      <xdr:rowOff>0</xdr:rowOff>
    </xdr:from>
    <xdr:ext cx="76200" cy="206375"/>
    <xdr:sp macro="" textlink="">
      <xdr:nvSpPr>
        <xdr:cNvPr id="27" name="Text Box 39">
          <a:extLst>
            <a:ext uri="{FF2B5EF4-FFF2-40B4-BE49-F238E27FC236}">
              <a16:creationId xmlns:a16="http://schemas.microsoft.com/office/drawing/2014/main" id="{00000000-0008-0000-0B00-00001B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38</xdr:row>
      <xdr:rowOff>0</xdr:rowOff>
    </xdr:from>
    <xdr:ext cx="76200" cy="206375"/>
    <xdr:sp macro="" textlink="">
      <xdr:nvSpPr>
        <xdr:cNvPr id="28" name="Text Box 39">
          <a:extLst>
            <a:ext uri="{FF2B5EF4-FFF2-40B4-BE49-F238E27FC236}">
              <a16:creationId xmlns:a16="http://schemas.microsoft.com/office/drawing/2014/main" id="{00000000-0008-0000-0B00-00001C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39</xdr:row>
      <xdr:rowOff>0</xdr:rowOff>
    </xdr:from>
    <xdr:ext cx="76200" cy="206375"/>
    <xdr:sp macro="" textlink="">
      <xdr:nvSpPr>
        <xdr:cNvPr id="29" name="Text Box 39">
          <a:extLst>
            <a:ext uri="{FF2B5EF4-FFF2-40B4-BE49-F238E27FC236}">
              <a16:creationId xmlns:a16="http://schemas.microsoft.com/office/drawing/2014/main" id="{00000000-0008-0000-0B00-00001D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40</xdr:row>
      <xdr:rowOff>0</xdr:rowOff>
    </xdr:from>
    <xdr:ext cx="76200" cy="206375"/>
    <xdr:sp macro="" textlink="">
      <xdr:nvSpPr>
        <xdr:cNvPr id="30" name="Text Box 39">
          <a:extLst>
            <a:ext uri="{FF2B5EF4-FFF2-40B4-BE49-F238E27FC236}">
              <a16:creationId xmlns:a16="http://schemas.microsoft.com/office/drawing/2014/main" id="{00000000-0008-0000-0B00-00001E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41</xdr:row>
      <xdr:rowOff>0</xdr:rowOff>
    </xdr:from>
    <xdr:ext cx="76200" cy="206375"/>
    <xdr:sp macro="" textlink="">
      <xdr:nvSpPr>
        <xdr:cNvPr id="31" name="Text Box 39">
          <a:extLst>
            <a:ext uri="{FF2B5EF4-FFF2-40B4-BE49-F238E27FC236}">
              <a16:creationId xmlns:a16="http://schemas.microsoft.com/office/drawing/2014/main" id="{00000000-0008-0000-0B00-00001F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42</xdr:row>
      <xdr:rowOff>0</xdr:rowOff>
    </xdr:from>
    <xdr:ext cx="76200" cy="206375"/>
    <xdr:sp macro="" textlink="">
      <xdr:nvSpPr>
        <xdr:cNvPr id="32" name="Text Box 39">
          <a:extLst>
            <a:ext uri="{FF2B5EF4-FFF2-40B4-BE49-F238E27FC236}">
              <a16:creationId xmlns:a16="http://schemas.microsoft.com/office/drawing/2014/main" id="{00000000-0008-0000-0B00-000020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43</xdr:row>
      <xdr:rowOff>0</xdr:rowOff>
    </xdr:from>
    <xdr:ext cx="76200" cy="206375"/>
    <xdr:sp macro="" textlink="">
      <xdr:nvSpPr>
        <xdr:cNvPr id="33" name="Text Box 39">
          <a:extLst>
            <a:ext uri="{FF2B5EF4-FFF2-40B4-BE49-F238E27FC236}">
              <a16:creationId xmlns:a16="http://schemas.microsoft.com/office/drawing/2014/main" id="{00000000-0008-0000-0B00-000021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44</xdr:row>
      <xdr:rowOff>0</xdr:rowOff>
    </xdr:from>
    <xdr:ext cx="76200" cy="206375"/>
    <xdr:sp macro="" textlink="">
      <xdr:nvSpPr>
        <xdr:cNvPr id="34" name="Text Box 39">
          <a:extLst>
            <a:ext uri="{FF2B5EF4-FFF2-40B4-BE49-F238E27FC236}">
              <a16:creationId xmlns:a16="http://schemas.microsoft.com/office/drawing/2014/main" id="{00000000-0008-0000-0B00-000022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45</xdr:row>
      <xdr:rowOff>0</xdr:rowOff>
    </xdr:from>
    <xdr:ext cx="76200" cy="206375"/>
    <xdr:sp macro="" textlink="">
      <xdr:nvSpPr>
        <xdr:cNvPr id="35" name="Text Box 39">
          <a:extLst>
            <a:ext uri="{FF2B5EF4-FFF2-40B4-BE49-F238E27FC236}">
              <a16:creationId xmlns:a16="http://schemas.microsoft.com/office/drawing/2014/main" id="{00000000-0008-0000-0B00-000023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46</xdr:row>
      <xdr:rowOff>0</xdr:rowOff>
    </xdr:from>
    <xdr:ext cx="76200" cy="206375"/>
    <xdr:sp macro="" textlink="">
      <xdr:nvSpPr>
        <xdr:cNvPr id="36" name="Text Box 39">
          <a:extLst>
            <a:ext uri="{FF2B5EF4-FFF2-40B4-BE49-F238E27FC236}">
              <a16:creationId xmlns:a16="http://schemas.microsoft.com/office/drawing/2014/main" id="{00000000-0008-0000-0B00-000024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47</xdr:row>
      <xdr:rowOff>0</xdr:rowOff>
    </xdr:from>
    <xdr:ext cx="76200" cy="206375"/>
    <xdr:sp macro="" textlink="">
      <xdr:nvSpPr>
        <xdr:cNvPr id="37" name="Text Box 39">
          <a:extLst>
            <a:ext uri="{FF2B5EF4-FFF2-40B4-BE49-F238E27FC236}">
              <a16:creationId xmlns:a16="http://schemas.microsoft.com/office/drawing/2014/main" id="{00000000-0008-0000-0B00-000025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48</xdr:row>
      <xdr:rowOff>0</xdr:rowOff>
    </xdr:from>
    <xdr:ext cx="76200" cy="206375"/>
    <xdr:sp macro="" textlink="">
      <xdr:nvSpPr>
        <xdr:cNvPr id="38" name="Text Box 39">
          <a:extLst>
            <a:ext uri="{FF2B5EF4-FFF2-40B4-BE49-F238E27FC236}">
              <a16:creationId xmlns:a16="http://schemas.microsoft.com/office/drawing/2014/main" id="{00000000-0008-0000-0B00-000026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49</xdr:row>
      <xdr:rowOff>0</xdr:rowOff>
    </xdr:from>
    <xdr:ext cx="76200" cy="206375"/>
    <xdr:sp macro="" textlink="">
      <xdr:nvSpPr>
        <xdr:cNvPr id="39" name="Text Box 39">
          <a:extLst>
            <a:ext uri="{FF2B5EF4-FFF2-40B4-BE49-F238E27FC236}">
              <a16:creationId xmlns:a16="http://schemas.microsoft.com/office/drawing/2014/main" id="{00000000-0008-0000-0B00-000027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50</xdr:row>
      <xdr:rowOff>0</xdr:rowOff>
    </xdr:from>
    <xdr:ext cx="76200" cy="206375"/>
    <xdr:sp macro="" textlink="">
      <xdr:nvSpPr>
        <xdr:cNvPr id="40" name="Text Box 39">
          <a:extLst>
            <a:ext uri="{FF2B5EF4-FFF2-40B4-BE49-F238E27FC236}">
              <a16:creationId xmlns:a16="http://schemas.microsoft.com/office/drawing/2014/main" id="{00000000-0008-0000-0B00-000028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51</xdr:row>
      <xdr:rowOff>0</xdr:rowOff>
    </xdr:from>
    <xdr:ext cx="76200" cy="206375"/>
    <xdr:sp macro="" textlink="">
      <xdr:nvSpPr>
        <xdr:cNvPr id="41" name="Text Box 39">
          <a:extLst>
            <a:ext uri="{FF2B5EF4-FFF2-40B4-BE49-F238E27FC236}">
              <a16:creationId xmlns:a16="http://schemas.microsoft.com/office/drawing/2014/main" id="{00000000-0008-0000-0B00-000029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52</xdr:row>
      <xdr:rowOff>0</xdr:rowOff>
    </xdr:from>
    <xdr:ext cx="76200" cy="206375"/>
    <xdr:sp macro="" textlink="">
      <xdr:nvSpPr>
        <xdr:cNvPr id="42" name="Text Box 39">
          <a:extLst>
            <a:ext uri="{FF2B5EF4-FFF2-40B4-BE49-F238E27FC236}">
              <a16:creationId xmlns:a16="http://schemas.microsoft.com/office/drawing/2014/main" id="{00000000-0008-0000-0B00-00002A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53</xdr:row>
      <xdr:rowOff>0</xdr:rowOff>
    </xdr:from>
    <xdr:ext cx="76200" cy="206375"/>
    <xdr:sp macro="" textlink="">
      <xdr:nvSpPr>
        <xdr:cNvPr id="43" name="Text Box 39">
          <a:extLst>
            <a:ext uri="{FF2B5EF4-FFF2-40B4-BE49-F238E27FC236}">
              <a16:creationId xmlns:a16="http://schemas.microsoft.com/office/drawing/2014/main" id="{00000000-0008-0000-0B00-00002B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54</xdr:row>
      <xdr:rowOff>0</xdr:rowOff>
    </xdr:from>
    <xdr:ext cx="76200" cy="206375"/>
    <xdr:sp macro="" textlink="">
      <xdr:nvSpPr>
        <xdr:cNvPr id="44" name="Text Box 39">
          <a:extLst>
            <a:ext uri="{FF2B5EF4-FFF2-40B4-BE49-F238E27FC236}">
              <a16:creationId xmlns:a16="http://schemas.microsoft.com/office/drawing/2014/main" id="{00000000-0008-0000-0B00-00002C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55</xdr:row>
      <xdr:rowOff>0</xdr:rowOff>
    </xdr:from>
    <xdr:ext cx="76200" cy="206375"/>
    <xdr:sp macro="" textlink="">
      <xdr:nvSpPr>
        <xdr:cNvPr id="45" name="Text Box 39">
          <a:extLst>
            <a:ext uri="{FF2B5EF4-FFF2-40B4-BE49-F238E27FC236}">
              <a16:creationId xmlns:a16="http://schemas.microsoft.com/office/drawing/2014/main" id="{00000000-0008-0000-0B00-00002D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56</xdr:row>
      <xdr:rowOff>0</xdr:rowOff>
    </xdr:from>
    <xdr:ext cx="76200" cy="206375"/>
    <xdr:sp macro="" textlink="">
      <xdr:nvSpPr>
        <xdr:cNvPr id="46" name="Text Box 39">
          <a:extLst>
            <a:ext uri="{FF2B5EF4-FFF2-40B4-BE49-F238E27FC236}">
              <a16:creationId xmlns:a16="http://schemas.microsoft.com/office/drawing/2014/main" id="{00000000-0008-0000-0B00-00002E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57</xdr:row>
      <xdr:rowOff>0</xdr:rowOff>
    </xdr:from>
    <xdr:ext cx="76200" cy="206375"/>
    <xdr:sp macro="" textlink="">
      <xdr:nvSpPr>
        <xdr:cNvPr id="47" name="Text Box 39">
          <a:extLst>
            <a:ext uri="{FF2B5EF4-FFF2-40B4-BE49-F238E27FC236}">
              <a16:creationId xmlns:a16="http://schemas.microsoft.com/office/drawing/2014/main" id="{00000000-0008-0000-0B00-00002F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58</xdr:row>
      <xdr:rowOff>0</xdr:rowOff>
    </xdr:from>
    <xdr:ext cx="76200" cy="206375"/>
    <xdr:sp macro="" textlink="">
      <xdr:nvSpPr>
        <xdr:cNvPr id="48" name="Text Box 39">
          <a:extLst>
            <a:ext uri="{FF2B5EF4-FFF2-40B4-BE49-F238E27FC236}">
              <a16:creationId xmlns:a16="http://schemas.microsoft.com/office/drawing/2014/main" id="{00000000-0008-0000-0B00-000030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59</xdr:row>
      <xdr:rowOff>0</xdr:rowOff>
    </xdr:from>
    <xdr:ext cx="76200" cy="206375"/>
    <xdr:sp macro="" textlink="">
      <xdr:nvSpPr>
        <xdr:cNvPr id="49" name="Text Box 39">
          <a:extLst>
            <a:ext uri="{FF2B5EF4-FFF2-40B4-BE49-F238E27FC236}">
              <a16:creationId xmlns:a16="http://schemas.microsoft.com/office/drawing/2014/main" id="{00000000-0008-0000-0B00-000031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60</xdr:row>
      <xdr:rowOff>0</xdr:rowOff>
    </xdr:from>
    <xdr:ext cx="76200" cy="206375"/>
    <xdr:sp macro="" textlink="">
      <xdr:nvSpPr>
        <xdr:cNvPr id="50" name="Text Box 39">
          <a:extLst>
            <a:ext uri="{FF2B5EF4-FFF2-40B4-BE49-F238E27FC236}">
              <a16:creationId xmlns:a16="http://schemas.microsoft.com/office/drawing/2014/main" id="{00000000-0008-0000-0B00-000032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61</xdr:row>
      <xdr:rowOff>0</xdr:rowOff>
    </xdr:from>
    <xdr:ext cx="76200" cy="206375"/>
    <xdr:sp macro="" textlink="">
      <xdr:nvSpPr>
        <xdr:cNvPr id="51" name="Text Box 39">
          <a:extLst>
            <a:ext uri="{FF2B5EF4-FFF2-40B4-BE49-F238E27FC236}">
              <a16:creationId xmlns:a16="http://schemas.microsoft.com/office/drawing/2014/main" id="{00000000-0008-0000-0B00-000033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62</xdr:row>
      <xdr:rowOff>0</xdr:rowOff>
    </xdr:from>
    <xdr:ext cx="76200" cy="206375"/>
    <xdr:sp macro="" textlink="">
      <xdr:nvSpPr>
        <xdr:cNvPr id="52" name="Text Box 39">
          <a:extLst>
            <a:ext uri="{FF2B5EF4-FFF2-40B4-BE49-F238E27FC236}">
              <a16:creationId xmlns:a16="http://schemas.microsoft.com/office/drawing/2014/main" id="{00000000-0008-0000-0B00-000034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63</xdr:row>
      <xdr:rowOff>0</xdr:rowOff>
    </xdr:from>
    <xdr:ext cx="76200" cy="206375"/>
    <xdr:sp macro="" textlink="">
      <xdr:nvSpPr>
        <xdr:cNvPr id="53" name="Text Box 39">
          <a:extLst>
            <a:ext uri="{FF2B5EF4-FFF2-40B4-BE49-F238E27FC236}">
              <a16:creationId xmlns:a16="http://schemas.microsoft.com/office/drawing/2014/main" id="{00000000-0008-0000-0B00-000035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64</xdr:row>
      <xdr:rowOff>0</xdr:rowOff>
    </xdr:from>
    <xdr:ext cx="76200" cy="206375"/>
    <xdr:sp macro="" textlink="">
      <xdr:nvSpPr>
        <xdr:cNvPr id="54" name="Text Box 39">
          <a:extLst>
            <a:ext uri="{FF2B5EF4-FFF2-40B4-BE49-F238E27FC236}">
              <a16:creationId xmlns:a16="http://schemas.microsoft.com/office/drawing/2014/main" id="{00000000-0008-0000-0B00-000036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65</xdr:row>
      <xdr:rowOff>0</xdr:rowOff>
    </xdr:from>
    <xdr:ext cx="76200" cy="206375"/>
    <xdr:sp macro="" textlink="">
      <xdr:nvSpPr>
        <xdr:cNvPr id="55" name="Text Box 39">
          <a:extLst>
            <a:ext uri="{FF2B5EF4-FFF2-40B4-BE49-F238E27FC236}">
              <a16:creationId xmlns:a16="http://schemas.microsoft.com/office/drawing/2014/main" id="{00000000-0008-0000-0B00-000037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66</xdr:row>
      <xdr:rowOff>0</xdr:rowOff>
    </xdr:from>
    <xdr:ext cx="76200" cy="206375"/>
    <xdr:sp macro="" textlink="">
      <xdr:nvSpPr>
        <xdr:cNvPr id="56" name="Text Box 39">
          <a:extLst>
            <a:ext uri="{FF2B5EF4-FFF2-40B4-BE49-F238E27FC236}">
              <a16:creationId xmlns:a16="http://schemas.microsoft.com/office/drawing/2014/main" id="{00000000-0008-0000-0B00-000038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67</xdr:row>
      <xdr:rowOff>0</xdr:rowOff>
    </xdr:from>
    <xdr:ext cx="76200" cy="206375"/>
    <xdr:sp macro="" textlink="">
      <xdr:nvSpPr>
        <xdr:cNvPr id="57" name="Text Box 39">
          <a:extLst>
            <a:ext uri="{FF2B5EF4-FFF2-40B4-BE49-F238E27FC236}">
              <a16:creationId xmlns:a16="http://schemas.microsoft.com/office/drawing/2014/main" id="{00000000-0008-0000-0B00-000039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68</xdr:row>
      <xdr:rowOff>0</xdr:rowOff>
    </xdr:from>
    <xdr:ext cx="76200" cy="206375"/>
    <xdr:sp macro="" textlink="">
      <xdr:nvSpPr>
        <xdr:cNvPr id="58" name="Text Box 39">
          <a:extLst>
            <a:ext uri="{FF2B5EF4-FFF2-40B4-BE49-F238E27FC236}">
              <a16:creationId xmlns:a16="http://schemas.microsoft.com/office/drawing/2014/main" id="{00000000-0008-0000-0B00-00003A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69</xdr:row>
      <xdr:rowOff>0</xdr:rowOff>
    </xdr:from>
    <xdr:ext cx="76200" cy="206375"/>
    <xdr:sp macro="" textlink="">
      <xdr:nvSpPr>
        <xdr:cNvPr id="59" name="Text Box 39">
          <a:extLst>
            <a:ext uri="{FF2B5EF4-FFF2-40B4-BE49-F238E27FC236}">
              <a16:creationId xmlns:a16="http://schemas.microsoft.com/office/drawing/2014/main" id="{00000000-0008-0000-0B00-00003B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70</xdr:row>
      <xdr:rowOff>0</xdr:rowOff>
    </xdr:from>
    <xdr:ext cx="76200" cy="206375"/>
    <xdr:sp macro="" textlink="">
      <xdr:nvSpPr>
        <xdr:cNvPr id="60" name="Text Box 39">
          <a:extLst>
            <a:ext uri="{FF2B5EF4-FFF2-40B4-BE49-F238E27FC236}">
              <a16:creationId xmlns:a16="http://schemas.microsoft.com/office/drawing/2014/main" id="{00000000-0008-0000-0B00-00003C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71</xdr:row>
      <xdr:rowOff>0</xdr:rowOff>
    </xdr:from>
    <xdr:ext cx="76200" cy="206375"/>
    <xdr:sp macro="" textlink="">
      <xdr:nvSpPr>
        <xdr:cNvPr id="61" name="Text Box 39">
          <a:extLst>
            <a:ext uri="{FF2B5EF4-FFF2-40B4-BE49-F238E27FC236}">
              <a16:creationId xmlns:a16="http://schemas.microsoft.com/office/drawing/2014/main" id="{00000000-0008-0000-0B00-00003D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72</xdr:row>
      <xdr:rowOff>0</xdr:rowOff>
    </xdr:from>
    <xdr:ext cx="76200" cy="206375"/>
    <xdr:sp macro="" textlink="">
      <xdr:nvSpPr>
        <xdr:cNvPr id="62" name="Text Box 39">
          <a:extLst>
            <a:ext uri="{FF2B5EF4-FFF2-40B4-BE49-F238E27FC236}">
              <a16:creationId xmlns:a16="http://schemas.microsoft.com/office/drawing/2014/main" id="{00000000-0008-0000-0B00-00003E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73</xdr:row>
      <xdr:rowOff>0</xdr:rowOff>
    </xdr:from>
    <xdr:ext cx="76200" cy="206375"/>
    <xdr:sp macro="" textlink="">
      <xdr:nvSpPr>
        <xdr:cNvPr id="63" name="Text Box 39">
          <a:extLst>
            <a:ext uri="{FF2B5EF4-FFF2-40B4-BE49-F238E27FC236}">
              <a16:creationId xmlns:a16="http://schemas.microsoft.com/office/drawing/2014/main" id="{00000000-0008-0000-0B00-00003F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74</xdr:row>
      <xdr:rowOff>0</xdr:rowOff>
    </xdr:from>
    <xdr:ext cx="76200" cy="206375"/>
    <xdr:sp macro="" textlink="">
      <xdr:nvSpPr>
        <xdr:cNvPr id="64" name="Text Box 39">
          <a:extLst>
            <a:ext uri="{FF2B5EF4-FFF2-40B4-BE49-F238E27FC236}">
              <a16:creationId xmlns:a16="http://schemas.microsoft.com/office/drawing/2014/main" id="{00000000-0008-0000-0B00-000040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75</xdr:row>
      <xdr:rowOff>0</xdr:rowOff>
    </xdr:from>
    <xdr:ext cx="76200" cy="206375"/>
    <xdr:sp macro="" textlink="">
      <xdr:nvSpPr>
        <xdr:cNvPr id="65" name="Text Box 39">
          <a:extLst>
            <a:ext uri="{FF2B5EF4-FFF2-40B4-BE49-F238E27FC236}">
              <a16:creationId xmlns:a16="http://schemas.microsoft.com/office/drawing/2014/main" id="{00000000-0008-0000-0B00-000041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76</xdr:row>
      <xdr:rowOff>0</xdr:rowOff>
    </xdr:from>
    <xdr:ext cx="76200" cy="206375"/>
    <xdr:sp macro="" textlink="">
      <xdr:nvSpPr>
        <xdr:cNvPr id="66" name="Text Box 39">
          <a:extLst>
            <a:ext uri="{FF2B5EF4-FFF2-40B4-BE49-F238E27FC236}">
              <a16:creationId xmlns:a16="http://schemas.microsoft.com/office/drawing/2014/main" id="{00000000-0008-0000-0B00-000042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77</xdr:row>
      <xdr:rowOff>0</xdr:rowOff>
    </xdr:from>
    <xdr:ext cx="76200" cy="206375"/>
    <xdr:sp macro="" textlink="">
      <xdr:nvSpPr>
        <xdr:cNvPr id="67" name="Text Box 39">
          <a:extLst>
            <a:ext uri="{FF2B5EF4-FFF2-40B4-BE49-F238E27FC236}">
              <a16:creationId xmlns:a16="http://schemas.microsoft.com/office/drawing/2014/main" id="{00000000-0008-0000-0B00-000043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78</xdr:row>
      <xdr:rowOff>0</xdr:rowOff>
    </xdr:from>
    <xdr:ext cx="76200" cy="206375"/>
    <xdr:sp macro="" textlink="">
      <xdr:nvSpPr>
        <xdr:cNvPr id="68" name="Text Box 39">
          <a:extLst>
            <a:ext uri="{FF2B5EF4-FFF2-40B4-BE49-F238E27FC236}">
              <a16:creationId xmlns:a16="http://schemas.microsoft.com/office/drawing/2014/main" id="{00000000-0008-0000-0B00-000044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79</xdr:row>
      <xdr:rowOff>0</xdr:rowOff>
    </xdr:from>
    <xdr:ext cx="76200" cy="206375"/>
    <xdr:sp macro="" textlink="">
      <xdr:nvSpPr>
        <xdr:cNvPr id="69" name="Text Box 39">
          <a:extLst>
            <a:ext uri="{FF2B5EF4-FFF2-40B4-BE49-F238E27FC236}">
              <a16:creationId xmlns:a16="http://schemas.microsoft.com/office/drawing/2014/main" id="{00000000-0008-0000-0B00-000045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80</xdr:row>
      <xdr:rowOff>0</xdr:rowOff>
    </xdr:from>
    <xdr:ext cx="76200" cy="206375"/>
    <xdr:sp macro="" textlink="">
      <xdr:nvSpPr>
        <xdr:cNvPr id="70" name="Text Box 39">
          <a:extLst>
            <a:ext uri="{FF2B5EF4-FFF2-40B4-BE49-F238E27FC236}">
              <a16:creationId xmlns:a16="http://schemas.microsoft.com/office/drawing/2014/main" id="{00000000-0008-0000-0B00-000046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81</xdr:row>
      <xdr:rowOff>0</xdr:rowOff>
    </xdr:from>
    <xdr:ext cx="76200" cy="206375"/>
    <xdr:sp macro="" textlink="">
      <xdr:nvSpPr>
        <xdr:cNvPr id="71" name="Text Box 39">
          <a:extLst>
            <a:ext uri="{FF2B5EF4-FFF2-40B4-BE49-F238E27FC236}">
              <a16:creationId xmlns:a16="http://schemas.microsoft.com/office/drawing/2014/main" id="{00000000-0008-0000-0B00-000047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82</xdr:row>
      <xdr:rowOff>0</xdr:rowOff>
    </xdr:from>
    <xdr:ext cx="76200" cy="206375"/>
    <xdr:sp macro="" textlink="">
      <xdr:nvSpPr>
        <xdr:cNvPr id="72" name="Text Box 39">
          <a:extLst>
            <a:ext uri="{FF2B5EF4-FFF2-40B4-BE49-F238E27FC236}">
              <a16:creationId xmlns:a16="http://schemas.microsoft.com/office/drawing/2014/main" id="{00000000-0008-0000-0B00-000048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83</xdr:row>
      <xdr:rowOff>0</xdr:rowOff>
    </xdr:from>
    <xdr:ext cx="76200" cy="206375"/>
    <xdr:sp macro="" textlink="">
      <xdr:nvSpPr>
        <xdr:cNvPr id="73" name="Text Box 39">
          <a:extLst>
            <a:ext uri="{FF2B5EF4-FFF2-40B4-BE49-F238E27FC236}">
              <a16:creationId xmlns:a16="http://schemas.microsoft.com/office/drawing/2014/main" id="{00000000-0008-0000-0B00-000049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84</xdr:row>
      <xdr:rowOff>0</xdr:rowOff>
    </xdr:from>
    <xdr:ext cx="76200" cy="206375"/>
    <xdr:sp macro="" textlink="">
      <xdr:nvSpPr>
        <xdr:cNvPr id="74" name="Text Box 39">
          <a:extLst>
            <a:ext uri="{FF2B5EF4-FFF2-40B4-BE49-F238E27FC236}">
              <a16:creationId xmlns:a16="http://schemas.microsoft.com/office/drawing/2014/main" id="{00000000-0008-0000-0B00-00004A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85</xdr:row>
      <xdr:rowOff>0</xdr:rowOff>
    </xdr:from>
    <xdr:ext cx="76200" cy="206375"/>
    <xdr:sp macro="" textlink="">
      <xdr:nvSpPr>
        <xdr:cNvPr id="75" name="Text Box 39">
          <a:extLst>
            <a:ext uri="{FF2B5EF4-FFF2-40B4-BE49-F238E27FC236}">
              <a16:creationId xmlns:a16="http://schemas.microsoft.com/office/drawing/2014/main" id="{00000000-0008-0000-0B00-00004B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86</xdr:row>
      <xdr:rowOff>0</xdr:rowOff>
    </xdr:from>
    <xdr:ext cx="76200" cy="206375"/>
    <xdr:sp macro="" textlink="">
      <xdr:nvSpPr>
        <xdr:cNvPr id="76" name="Text Box 39">
          <a:extLst>
            <a:ext uri="{FF2B5EF4-FFF2-40B4-BE49-F238E27FC236}">
              <a16:creationId xmlns:a16="http://schemas.microsoft.com/office/drawing/2014/main" id="{00000000-0008-0000-0B00-00004C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87</xdr:row>
      <xdr:rowOff>0</xdr:rowOff>
    </xdr:from>
    <xdr:ext cx="76200" cy="206375"/>
    <xdr:sp macro="" textlink="">
      <xdr:nvSpPr>
        <xdr:cNvPr id="77" name="Text Box 39">
          <a:extLst>
            <a:ext uri="{FF2B5EF4-FFF2-40B4-BE49-F238E27FC236}">
              <a16:creationId xmlns:a16="http://schemas.microsoft.com/office/drawing/2014/main" id="{00000000-0008-0000-0B00-00004D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88</xdr:row>
      <xdr:rowOff>0</xdr:rowOff>
    </xdr:from>
    <xdr:ext cx="76200" cy="206375"/>
    <xdr:sp macro="" textlink="">
      <xdr:nvSpPr>
        <xdr:cNvPr id="78" name="Text Box 39">
          <a:extLst>
            <a:ext uri="{FF2B5EF4-FFF2-40B4-BE49-F238E27FC236}">
              <a16:creationId xmlns:a16="http://schemas.microsoft.com/office/drawing/2014/main" id="{00000000-0008-0000-0B00-00004E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89</xdr:row>
      <xdr:rowOff>0</xdr:rowOff>
    </xdr:from>
    <xdr:ext cx="76200" cy="206375"/>
    <xdr:sp macro="" textlink="">
      <xdr:nvSpPr>
        <xdr:cNvPr id="79" name="Text Box 39">
          <a:extLst>
            <a:ext uri="{FF2B5EF4-FFF2-40B4-BE49-F238E27FC236}">
              <a16:creationId xmlns:a16="http://schemas.microsoft.com/office/drawing/2014/main" id="{00000000-0008-0000-0B00-00004F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90</xdr:row>
      <xdr:rowOff>0</xdr:rowOff>
    </xdr:from>
    <xdr:ext cx="76200" cy="206375"/>
    <xdr:sp macro="" textlink="">
      <xdr:nvSpPr>
        <xdr:cNvPr id="80" name="Text Box 39">
          <a:extLst>
            <a:ext uri="{FF2B5EF4-FFF2-40B4-BE49-F238E27FC236}">
              <a16:creationId xmlns:a16="http://schemas.microsoft.com/office/drawing/2014/main" id="{00000000-0008-0000-0B00-000050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91</xdr:row>
      <xdr:rowOff>0</xdr:rowOff>
    </xdr:from>
    <xdr:ext cx="76200" cy="206375"/>
    <xdr:sp macro="" textlink="">
      <xdr:nvSpPr>
        <xdr:cNvPr id="81" name="Text Box 39">
          <a:extLst>
            <a:ext uri="{FF2B5EF4-FFF2-40B4-BE49-F238E27FC236}">
              <a16:creationId xmlns:a16="http://schemas.microsoft.com/office/drawing/2014/main" id="{00000000-0008-0000-0B00-000051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92</xdr:row>
      <xdr:rowOff>0</xdr:rowOff>
    </xdr:from>
    <xdr:ext cx="76200" cy="206375"/>
    <xdr:sp macro="" textlink="">
      <xdr:nvSpPr>
        <xdr:cNvPr id="82" name="Text Box 39">
          <a:extLst>
            <a:ext uri="{FF2B5EF4-FFF2-40B4-BE49-F238E27FC236}">
              <a16:creationId xmlns:a16="http://schemas.microsoft.com/office/drawing/2014/main" id="{00000000-0008-0000-0B00-000052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93</xdr:row>
      <xdr:rowOff>0</xdr:rowOff>
    </xdr:from>
    <xdr:ext cx="76200" cy="206375"/>
    <xdr:sp macro="" textlink="">
      <xdr:nvSpPr>
        <xdr:cNvPr id="83" name="Text Box 39">
          <a:extLst>
            <a:ext uri="{FF2B5EF4-FFF2-40B4-BE49-F238E27FC236}">
              <a16:creationId xmlns:a16="http://schemas.microsoft.com/office/drawing/2014/main" id="{00000000-0008-0000-0B00-000053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94</xdr:row>
      <xdr:rowOff>0</xdr:rowOff>
    </xdr:from>
    <xdr:ext cx="76200" cy="206375"/>
    <xdr:sp macro="" textlink="">
      <xdr:nvSpPr>
        <xdr:cNvPr id="84" name="Text Box 39">
          <a:extLst>
            <a:ext uri="{FF2B5EF4-FFF2-40B4-BE49-F238E27FC236}">
              <a16:creationId xmlns:a16="http://schemas.microsoft.com/office/drawing/2014/main" id="{00000000-0008-0000-0B00-000054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95</xdr:row>
      <xdr:rowOff>0</xdr:rowOff>
    </xdr:from>
    <xdr:ext cx="76200" cy="206375"/>
    <xdr:sp macro="" textlink="">
      <xdr:nvSpPr>
        <xdr:cNvPr id="85" name="Text Box 39">
          <a:extLst>
            <a:ext uri="{FF2B5EF4-FFF2-40B4-BE49-F238E27FC236}">
              <a16:creationId xmlns:a16="http://schemas.microsoft.com/office/drawing/2014/main" id="{00000000-0008-0000-0B00-000055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96</xdr:row>
      <xdr:rowOff>0</xdr:rowOff>
    </xdr:from>
    <xdr:ext cx="76200" cy="206375"/>
    <xdr:sp macro="" textlink="">
      <xdr:nvSpPr>
        <xdr:cNvPr id="86" name="Text Box 39">
          <a:extLst>
            <a:ext uri="{FF2B5EF4-FFF2-40B4-BE49-F238E27FC236}">
              <a16:creationId xmlns:a16="http://schemas.microsoft.com/office/drawing/2014/main" id="{00000000-0008-0000-0B00-000056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97</xdr:row>
      <xdr:rowOff>0</xdr:rowOff>
    </xdr:from>
    <xdr:ext cx="76200" cy="206375"/>
    <xdr:sp macro="" textlink="">
      <xdr:nvSpPr>
        <xdr:cNvPr id="87" name="Text Box 39">
          <a:extLst>
            <a:ext uri="{FF2B5EF4-FFF2-40B4-BE49-F238E27FC236}">
              <a16:creationId xmlns:a16="http://schemas.microsoft.com/office/drawing/2014/main" id="{00000000-0008-0000-0B00-000057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98</xdr:row>
      <xdr:rowOff>0</xdr:rowOff>
    </xdr:from>
    <xdr:ext cx="76200" cy="206375"/>
    <xdr:sp macro="" textlink="">
      <xdr:nvSpPr>
        <xdr:cNvPr id="88" name="Text Box 39">
          <a:extLst>
            <a:ext uri="{FF2B5EF4-FFF2-40B4-BE49-F238E27FC236}">
              <a16:creationId xmlns:a16="http://schemas.microsoft.com/office/drawing/2014/main" id="{00000000-0008-0000-0B00-000058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99</xdr:row>
      <xdr:rowOff>0</xdr:rowOff>
    </xdr:from>
    <xdr:ext cx="76200" cy="206375"/>
    <xdr:sp macro="" textlink="">
      <xdr:nvSpPr>
        <xdr:cNvPr id="89" name="Text Box 39">
          <a:extLst>
            <a:ext uri="{FF2B5EF4-FFF2-40B4-BE49-F238E27FC236}">
              <a16:creationId xmlns:a16="http://schemas.microsoft.com/office/drawing/2014/main" id="{00000000-0008-0000-0B00-000059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100</xdr:row>
      <xdr:rowOff>0</xdr:rowOff>
    </xdr:from>
    <xdr:ext cx="76200" cy="206375"/>
    <xdr:sp macro="" textlink="">
      <xdr:nvSpPr>
        <xdr:cNvPr id="90" name="Text Box 39">
          <a:extLst>
            <a:ext uri="{FF2B5EF4-FFF2-40B4-BE49-F238E27FC236}">
              <a16:creationId xmlns:a16="http://schemas.microsoft.com/office/drawing/2014/main" id="{00000000-0008-0000-0B00-00005A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101</xdr:row>
      <xdr:rowOff>0</xdr:rowOff>
    </xdr:from>
    <xdr:ext cx="76200" cy="206375"/>
    <xdr:sp macro="" textlink="">
      <xdr:nvSpPr>
        <xdr:cNvPr id="91" name="Text Box 39">
          <a:extLst>
            <a:ext uri="{FF2B5EF4-FFF2-40B4-BE49-F238E27FC236}">
              <a16:creationId xmlns:a16="http://schemas.microsoft.com/office/drawing/2014/main" id="{00000000-0008-0000-0B00-00005B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102</xdr:row>
      <xdr:rowOff>0</xdr:rowOff>
    </xdr:from>
    <xdr:ext cx="76200" cy="206375"/>
    <xdr:sp macro="" textlink="">
      <xdr:nvSpPr>
        <xdr:cNvPr id="92" name="Text Box 39">
          <a:extLst>
            <a:ext uri="{FF2B5EF4-FFF2-40B4-BE49-F238E27FC236}">
              <a16:creationId xmlns:a16="http://schemas.microsoft.com/office/drawing/2014/main" id="{00000000-0008-0000-0B00-00005C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103</xdr:row>
      <xdr:rowOff>0</xdr:rowOff>
    </xdr:from>
    <xdr:ext cx="76200" cy="206375"/>
    <xdr:sp macro="" textlink="">
      <xdr:nvSpPr>
        <xdr:cNvPr id="93" name="Text Box 39">
          <a:extLst>
            <a:ext uri="{FF2B5EF4-FFF2-40B4-BE49-F238E27FC236}">
              <a16:creationId xmlns:a16="http://schemas.microsoft.com/office/drawing/2014/main" id="{00000000-0008-0000-0B00-00005D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104</xdr:row>
      <xdr:rowOff>0</xdr:rowOff>
    </xdr:from>
    <xdr:ext cx="76200" cy="206375"/>
    <xdr:sp macro="" textlink="">
      <xdr:nvSpPr>
        <xdr:cNvPr id="94" name="Text Box 39">
          <a:extLst>
            <a:ext uri="{FF2B5EF4-FFF2-40B4-BE49-F238E27FC236}">
              <a16:creationId xmlns:a16="http://schemas.microsoft.com/office/drawing/2014/main" id="{00000000-0008-0000-0B00-00005E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105</xdr:row>
      <xdr:rowOff>0</xdr:rowOff>
    </xdr:from>
    <xdr:ext cx="76200" cy="206375"/>
    <xdr:sp macro="" textlink="">
      <xdr:nvSpPr>
        <xdr:cNvPr id="95" name="Text Box 39">
          <a:extLst>
            <a:ext uri="{FF2B5EF4-FFF2-40B4-BE49-F238E27FC236}">
              <a16:creationId xmlns:a16="http://schemas.microsoft.com/office/drawing/2014/main" id="{00000000-0008-0000-0B00-00005F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106</xdr:row>
      <xdr:rowOff>0</xdr:rowOff>
    </xdr:from>
    <xdr:ext cx="76200" cy="206375"/>
    <xdr:sp macro="" textlink="">
      <xdr:nvSpPr>
        <xdr:cNvPr id="96" name="Text Box 39">
          <a:extLst>
            <a:ext uri="{FF2B5EF4-FFF2-40B4-BE49-F238E27FC236}">
              <a16:creationId xmlns:a16="http://schemas.microsoft.com/office/drawing/2014/main" id="{00000000-0008-0000-0B00-000060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107</xdr:row>
      <xdr:rowOff>0</xdr:rowOff>
    </xdr:from>
    <xdr:ext cx="76200" cy="206375"/>
    <xdr:sp macro="" textlink="">
      <xdr:nvSpPr>
        <xdr:cNvPr id="97" name="Text Box 39">
          <a:extLst>
            <a:ext uri="{FF2B5EF4-FFF2-40B4-BE49-F238E27FC236}">
              <a16:creationId xmlns:a16="http://schemas.microsoft.com/office/drawing/2014/main" id="{00000000-0008-0000-0B00-000061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108</xdr:row>
      <xdr:rowOff>0</xdr:rowOff>
    </xdr:from>
    <xdr:ext cx="76200" cy="206375"/>
    <xdr:sp macro="" textlink="">
      <xdr:nvSpPr>
        <xdr:cNvPr id="98" name="Text Box 39">
          <a:extLst>
            <a:ext uri="{FF2B5EF4-FFF2-40B4-BE49-F238E27FC236}">
              <a16:creationId xmlns:a16="http://schemas.microsoft.com/office/drawing/2014/main" id="{00000000-0008-0000-0B00-000062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109</xdr:row>
      <xdr:rowOff>0</xdr:rowOff>
    </xdr:from>
    <xdr:ext cx="76200" cy="206375"/>
    <xdr:sp macro="" textlink="">
      <xdr:nvSpPr>
        <xdr:cNvPr id="99" name="Text Box 39">
          <a:extLst>
            <a:ext uri="{FF2B5EF4-FFF2-40B4-BE49-F238E27FC236}">
              <a16:creationId xmlns:a16="http://schemas.microsoft.com/office/drawing/2014/main" id="{00000000-0008-0000-0B00-000063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110</xdr:row>
      <xdr:rowOff>0</xdr:rowOff>
    </xdr:from>
    <xdr:ext cx="76200" cy="206375"/>
    <xdr:sp macro="" textlink="">
      <xdr:nvSpPr>
        <xdr:cNvPr id="100" name="Text Box 39">
          <a:extLst>
            <a:ext uri="{FF2B5EF4-FFF2-40B4-BE49-F238E27FC236}">
              <a16:creationId xmlns:a16="http://schemas.microsoft.com/office/drawing/2014/main" id="{00000000-0008-0000-0B00-000064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111</xdr:row>
      <xdr:rowOff>0</xdr:rowOff>
    </xdr:from>
    <xdr:ext cx="76200" cy="206375"/>
    <xdr:sp macro="" textlink="">
      <xdr:nvSpPr>
        <xdr:cNvPr id="101" name="Text Box 39">
          <a:extLst>
            <a:ext uri="{FF2B5EF4-FFF2-40B4-BE49-F238E27FC236}">
              <a16:creationId xmlns:a16="http://schemas.microsoft.com/office/drawing/2014/main" id="{00000000-0008-0000-0B00-000065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112</xdr:row>
      <xdr:rowOff>0</xdr:rowOff>
    </xdr:from>
    <xdr:ext cx="76200" cy="206375"/>
    <xdr:sp macro="" textlink="">
      <xdr:nvSpPr>
        <xdr:cNvPr id="102" name="Text Box 39">
          <a:extLst>
            <a:ext uri="{FF2B5EF4-FFF2-40B4-BE49-F238E27FC236}">
              <a16:creationId xmlns:a16="http://schemas.microsoft.com/office/drawing/2014/main" id="{00000000-0008-0000-0B00-000066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113</xdr:row>
      <xdr:rowOff>0</xdr:rowOff>
    </xdr:from>
    <xdr:ext cx="76200" cy="206375"/>
    <xdr:sp macro="" textlink="">
      <xdr:nvSpPr>
        <xdr:cNvPr id="103" name="Text Box 39">
          <a:extLst>
            <a:ext uri="{FF2B5EF4-FFF2-40B4-BE49-F238E27FC236}">
              <a16:creationId xmlns:a16="http://schemas.microsoft.com/office/drawing/2014/main" id="{00000000-0008-0000-0B00-000067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114</xdr:row>
      <xdr:rowOff>0</xdr:rowOff>
    </xdr:from>
    <xdr:ext cx="76200" cy="206375"/>
    <xdr:sp macro="" textlink="">
      <xdr:nvSpPr>
        <xdr:cNvPr id="104" name="Text Box 39">
          <a:extLst>
            <a:ext uri="{FF2B5EF4-FFF2-40B4-BE49-F238E27FC236}">
              <a16:creationId xmlns:a16="http://schemas.microsoft.com/office/drawing/2014/main" id="{00000000-0008-0000-0B00-000068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115</xdr:row>
      <xdr:rowOff>0</xdr:rowOff>
    </xdr:from>
    <xdr:ext cx="76200" cy="206375"/>
    <xdr:sp macro="" textlink="">
      <xdr:nvSpPr>
        <xdr:cNvPr id="105" name="Text Box 39">
          <a:extLst>
            <a:ext uri="{FF2B5EF4-FFF2-40B4-BE49-F238E27FC236}">
              <a16:creationId xmlns:a16="http://schemas.microsoft.com/office/drawing/2014/main" id="{00000000-0008-0000-0B00-000069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116</xdr:row>
      <xdr:rowOff>0</xdr:rowOff>
    </xdr:from>
    <xdr:ext cx="76200" cy="206375"/>
    <xdr:sp macro="" textlink="">
      <xdr:nvSpPr>
        <xdr:cNvPr id="106" name="Text Box 39">
          <a:extLst>
            <a:ext uri="{FF2B5EF4-FFF2-40B4-BE49-F238E27FC236}">
              <a16:creationId xmlns:a16="http://schemas.microsoft.com/office/drawing/2014/main" id="{00000000-0008-0000-0B00-00006A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117</xdr:row>
      <xdr:rowOff>0</xdr:rowOff>
    </xdr:from>
    <xdr:ext cx="76200" cy="206375"/>
    <xdr:sp macro="" textlink="">
      <xdr:nvSpPr>
        <xdr:cNvPr id="107" name="Text Box 39">
          <a:extLst>
            <a:ext uri="{FF2B5EF4-FFF2-40B4-BE49-F238E27FC236}">
              <a16:creationId xmlns:a16="http://schemas.microsoft.com/office/drawing/2014/main" id="{00000000-0008-0000-0B00-00006B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118</xdr:row>
      <xdr:rowOff>0</xdr:rowOff>
    </xdr:from>
    <xdr:ext cx="76200" cy="206375"/>
    <xdr:sp macro="" textlink="">
      <xdr:nvSpPr>
        <xdr:cNvPr id="108" name="Text Box 39">
          <a:extLst>
            <a:ext uri="{FF2B5EF4-FFF2-40B4-BE49-F238E27FC236}">
              <a16:creationId xmlns:a16="http://schemas.microsoft.com/office/drawing/2014/main" id="{00000000-0008-0000-0B00-00006C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119</xdr:row>
      <xdr:rowOff>0</xdr:rowOff>
    </xdr:from>
    <xdr:ext cx="76200" cy="206375"/>
    <xdr:sp macro="" textlink="">
      <xdr:nvSpPr>
        <xdr:cNvPr id="109" name="Text Box 39">
          <a:extLst>
            <a:ext uri="{FF2B5EF4-FFF2-40B4-BE49-F238E27FC236}">
              <a16:creationId xmlns:a16="http://schemas.microsoft.com/office/drawing/2014/main" id="{00000000-0008-0000-0B00-00006D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120</xdr:row>
      <xdr:rowOff>0</xdr:rowOff>
    </xdr:from>
    <xdr:ext cx="76200" cy="206375"/>
    <xdr:sp macro="" textlink="">
      <xdr:nvSpPr>
        <xdr:cNvPr id="110" name="Text Box 39">
          <a:extLst>
            <a:ext uri="{FF2B5EF4-FFF2-40B4-BE49-F238E27FC236}">
              <a16:creationId xmlns:a16="http://schemas.microsoft.com/office/drawing/2014/main" id="{00000000-0008-0000-0B00-00006E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121</xdr:row>
      <xdr:rowOff>0</xdr:rowOff>
    </xdr:from>
    <xdr:ext cx="76200" cy="206375"/>
    <xdr:sp macro="" textlink="">
      <xdr:nvSpPr>
        <xdr:cNvPr id="111" name="Text Box 39">
          <a:extLst>
            <a:ext uri="{FF2B5EF4-FFF2-40B4-BE49-F238E27FC236}">
              <a16:creationId xmlns:a16="http://schemas.microsoft.com/office/drawing/2014/main" id="{00000000-0008-0000-0B00-00006F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122</xdr:row>
      <xdr:rowOff>0</xdr:rowOff>
    </xdr:from>
    <xdr:ext cx="76200" cy="206375"/>
    <xdr:sp macro="" textlink="">
      <xdr:nvSpPr>
        <xdr:cNvPr id="112" name="Text Box 39">
          <a:extLst>
            <a:ext uri="{FF2B5EF4-FFF2-40B4-BE49-F238E27FC236}">
              <a16:creationId xmlns:a16="http://schemas.microsoft.com/office/drawing/2014/main" id="{00000000-0008-0000-0B00-000070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123</xdr:row>
      <xdr:rowOff>0</xdr:rowOff>
    </xdr:from>
    <xdr:ext cx="76200" cy="206375"/>
    <xdr:sp macro="" textlink="">
      <xdr:nvSpPr>
        <xdr:cNvPr id="113" name="Text Box 39">
          <a:extLst>
            <a:ext uri="{FF2B5EF4-FFF2-40B4-BE49-F238E27FC236}">
              <a16:creationId xmlns:a16="http://schemas.microsoft.com/office/drawing/2014/main" id="{00000000-0008-0000-0B00-000071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124</xdr:row>
      <xdr:rowOff>0</xdr:rowOff>
    </xdr:from>
    <xdr:ext cx="76200" cy="206375"/>
    <xdr:sp macro="" textlink="">
      <xdr:nvSpPr>
        <xdr:cNvPr id="114" name="Text Box 39">
          <a:extLst>
            <a:ext uri="{FF2B5EF4-FFF2-40B4-BE49-F238E27FC236}">
              <a16:creationId xmlns:a16="http://schemas.microsoft.com/office/drawing/2014/main" id="{00000000-0008-0000-0B00-000072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125</xdr:row>
      <xdr:rowOff>0</xdr:rowOff>
    </xdr:from>
    <xdr:ext cx="76200" cy="206375"/>
    <xdr:sp macro="" textlink="">
      <xdr:nvSpPr>
        <xdr:cNvPr id="115" name="Text Box 39">
          <a:extLst>
            <a:ext uri="{FF2B5EF4-FFF2-40B4-BE49-F238E27FC236}">
              <a16:creationId xmlns:a16="http://schemas.microsoft.com/office/drawing/2014/main" id="{00000000-0008-0000-0B00-000073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126</xdr:row>
      <xdr:rowOff>0</xdr:rowOff>
    </xdr:from>
    <xdr:ext cx="76200" cy="206375"/>
    <xdr:sp macro="" textlink="">
      <xdr:nvSpPr>
        <xdr:cNvPr id="116" name="Text Box 39">
          <a:extLst>
            <a:ext uri="{FF2B5EF4-FFF2-40B4-BE49-F238E27FC236}">
              <a16:creationId xmlns:a16="http://schemas.microsoft.com/office/drawing/2014/main" id="{00000000-0008-0000-0B00-000074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127</xdr:row>
      <xdr:rowOff>0</xdr:rowOff>
    </xdr:from>
    <xdr:ext cx="76200" cy="206375"/>
    <xdr:sp macro="" textlink="">
      <xdr:nvSpPr>
        <xdr:cNvPr id="117" name="Text Box 39">
          <a:extLst>
            <a:ext uri="{FF2B5EF4-FFF2-40B4-BE49-F238E27FC236}">
              <a16:creationId xmlns:a16="http://schemas.microsoft.com/office/drawing/2014/main" id="{00000000-0008-0000-0B00-000075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128</xdr:row>
      <xdr:rowOff>0</xdr:rowOff>
    </xdr:from>
    <xdr:ext cx="76200" cy="206375"/>
    <xdr:sp macro="" textlink="">
      <xdr:nvSpPr>
        <xdr:cNvPr id="118" name="Text Box 39">
          <a:extLst>
            <a:ext uri="{FF2B5EF4-FFF2-40B4-BE49-F238E27FC236}">
              <a16:creationId xmlns:a16="http://schemas.microsoft.com/office/drawing/2014/main" id="{00000000-0008-0000-0B00-000076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129</xdr:row>
      <xdr:rowOff>0</xdr:rowOff>
    </xdr:from>
    <xdr:ext cx="76200" cy="206375"/>
    <xdr:sp macro="" textlink="">
      <xdr:nvSpPr>
        <xdr:cNvPr id="119" name="Text Box 39">
          <a:extLst>
            <a:ext uri="{FF2B5EF4-FFF2-40B4-BE49-F238E27FC236}">
              <a16:creationId xmlns:a16="http://schemas.microsoft.com/office/drawing/2014/main" id="{00000000-0008-0000-0B00-000077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130</xdr:row>
      <xdr:rowOff>0</xdr:rowOff>
    </xdr:from>
    <xdr:ext cx="76200" cy="206375"/>
    <xdr:sp macro="" textlink="">
      <xdr:nvSpPr>
        <xdr:cNvPr id="120" name="Text Box 39">
          <a:extLst>
            <a:ext uri="{FF2B5EF4-FFF2-40B4-BE49-F238E27FC236}">
              <a16:creationId xmlns:a16="http://schemas.microsoft.com/office/drawing/2014/main" id="{00000000-0008-0000-0B00-000078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131</xdr:row>
      <xdr:rowOff>0</xdr:rowOff>
    </xdr:from>
    <xdr:ext cx="76200" cy="206375"/>
    <xdr:sp macro="" textlink="">
      <xdr:nvSpPr>
        <xdr:cNvPr id="121" name="Text Box 39">
          <a:extLst>
            <a:ext uri="{FF2B5EF4-FFF2-40B4-BE49-F238E27FC236}">
              <a16:creationId xmlns:a16="http://schemas.microsoft.com/office/drawing/2014/main" id="{00000000-0008-0000-0B00-000079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132</xdr:row>
      <xdr:rowOff>0</xdr:rowOff>
    </xdr:from>
    <xdr:ext cx="76200" cy="206375"/>
    <xdr:sp macro="" textlink="">
      <xdr:nvSpPr>
        <xdr:cNvPr id="122" name="Text Box 39">
          <a:extLst>
            <a:ext uri="{FF2B5EF4-FFF2-40B4-BE49-F238E27FC236}">
              <a16:creationId xmlns:a16="http://schemas.microsoft.com/office/drawing/2014/main" id="{00000000-0008-0000-0B00-00007A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133</xdr:row>
      <xdr:rowOff>0</xdr:rowOff>
    </xdr:from>
    <xdr:ext cx="76200" cy="206375"/>
    <xdr:sp macro="" textlink="">
      <xdr:nvSpPr>
        <xdr:cNvPr id="123" name="Text Box 39">
          <a:extLst>
            <a:ext uri="{FF2B5EF4-FFF2-40B4-BE49-F238E27FC236}">
              <a16:creationId xmlns:a16="http://schemas.microsoft.com/office/drawing/2014/main" id="{00000000-0008-0000-0B00-00007B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134</xdr:row>
      <xdr:rowOff>0</xdr:rowOff>
    </xdr:from>
    <xdr:ext cx="76200" cy="206375"/>
    <xdr:sp macro="" textlink="">
      <xdr:nvSpPr>
        <xdr:cNvPr id="124" name="Text Box 39">
          <a:extLst>
            <a:ext uri="{FF2B5EF4-FFF2-40B4-BE49-F238E27FC236}">
              <a16:creationId xmlns:a16="http://schemas.microsoft.com/office/drawing/2014/main" id="{00000000-0008-0000-0B00-00007C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135</xdr:row>
      <xdr:rowOff>0</xdr:rowOff>
    </xdr:from>
    <xdr:ext cx="76200" cy="206375"/>
    <xdr:sp macro="" textlink="">
      <xdr:nvSpPr>
        <xdr:cNvPr id="125" name="Text Box 39">
          <a:extLst>
            <a:ext uri="{FF2B5EF4-FFF2-40B4-BE49-F238E27FC236}">
              <a16:creationId xmlns:a16="http://schemas.microsoft.com/office/drawing/2014/main" id="{00000000-0008-0000-0B00-00007D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136</xdr:row>
      <xdr:rowOff>0</xdr:rowOff>
    </xdr:from>
    <xdr:ext cx="76200" cy="206375"/>
    <xdr:sp macro="" textlink="">
      <xdr:nvSpPr>
        <xdr:cNvPr id="126" name="Text Box 39">
          <a:extLst>
            <a:ext uri="{FF2B5EF4-FFF2-40B4-BE49-F238E27FC236}">
              <a16:creationId xmlns:a16="http://schemas.microsoft.com/office/drawing/2014/main" id="{00000000-0008-0000-0B00-00007E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137</xdr:row>
      <xdr:rowOff>0</xdr:rowOff>
    </xdr:from>
    <xdr:ext cx="76200" cy="206375"/>
    <xdr:sp macro="" textlink="">
      <xdr:nvSpPr>
        <xdr:cNvPr id="127" name="Text Box 39">
          <a:extLst>
            <a:ext uri="{FF2B5EF4-FFF2-40B4-BE49-F238E27FC236}">
              <a16:creationId xmlns:a16="http://schemas.microsoft.com/office/drawing/2014/main" id="{00000000-0008-0000-0B00-00007F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138</xdr:row>
      <xdr:rowOff>0</xdr:rowOff>
    </xdr:from>
    <xdr:ext cx="76200" cy="206375"/>
    <xdr:sp macro="" textlink="">
      <xdr:nvSpPr>
        <xdr:cNvPr id="128" name="Text Box 39">
          <a:extLst>
            <a:ext uri="{FF2B5EF4-FFF2-40B4-BE49-F238E27FC236}">
              <a16:creationId xmlns:a16="http://schemas.microsoft.com/office/drawing/2014/main" id="{00000000-0008-0000-0B00-000080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139</xdr:row>
      <xdr:rowOff>0</xdr:rowOff>
    </xdr:from>
    <xdr:ext cx="76200" cy="206375"/>
    <xdr:sp macro="" textlink="">
      <xdr:nvSpPr>
        <xdr:cNvPr id="129" name="Text Box 39">
          <a:extLst>
            <a:ext uri="{FF2B5EF4-FFF2-40B4-BE49-F238E27FC236}">
              <a16:creationId xmlns:a16="http://schemas.microsoft.com/office/drawing/2014/main" id="{00000000-0008-0000-0B00-000081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140</xdr:row>
      <xdr:rowOff>0</xdr:rowOff>
    </xdr:from>
    <xdr:ext cx="76200" cy="206375"/>
    <xdr:sp macro="" textlink="">
      <xdr:nvSpPr>
        <xdr:cNvPr id="130" name="Text Box 39">
          <a:extLst>
            <a:ext uri="{FF2B5EF4-FFF2-40B4-BE49-F238E27FC236}">
              <a16:creationId xmlns:a16="http://schemas.microsoft.com/office/drawing/2014/main" id="{00000000-0008-0000-0B00-000082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141</xdr:row>
      <xdr:rowOff>0</xdr:rowOff>
    </xdr:from>
    <xdr:ext cx="76200" cy="206375"/>
    <xdr:sp macro="" textlink="">
      <xdr:nvSpPr>
        <xdr:cNvPr id="131" name="Text Box 39">
          <a:extLst>
            <a:ext uri="{FF2B5EF4-FFF2-40B4-BE49-F238E27FC236}">
              <a16:creationId xmlns:a16="http://schemas.microsoft.com/office/drawing/2014/main" id="{00000000-0008-0000-0B00-000083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142</xdr:row>
      <xdr:rowOff>0</xdr:rowOff>
    </xdr:from>
    <xdr:ext cx="76200" cy="206375"/>
    <xdr:sp macro="" textlink="">
      <xdr:nvSpPr>
        <xdr:cNvPr id="132" name="Text Box 39">
          <a:extLst>
            <a:ext uri="{FF2B5EF4-FFF2-40B4-BE49-F238E27FC236}">
              <a16:creationId xmlns:a16="http://schemas.microsoft.com/office/drawing/2014/main" id="{00000000-0008-0000-0B00-000084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143</xdr:row>
      <xdr:rowOff>0</xdr:rowOff>
    </xdr:from>
    <xdr:ext cx="76200" cy="206375"/>
    <xdr:sp macro="" textlink="">
      <xdr:nvSpPr>
        <xdr:cNvPr id="133" name="Text Box 39">
          <a:extLst>
            <a:ext uri="{FF2B5EF4-FFF2-40B4-BE49-F238E27FC236}">
              <a16:creationId xmlns:a16="http://schemas.microsoft.com/office/drawing/2014/main" id="{00000000-0008-0000-0B00-000085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144</xdr:row>
      <xdr:rowOff>0</xdr:rowOff>
    </xdr:from>
    <xdr:ext cx="76200" cy="206375"/>
    <xdr:sp macro="" textlink="">
      <xdr:nvSpPr>
        <xdr:cNvPr id="134" name="Text Box 39">
          <a:extLst>
            <a:ext uri="{FF2B5EF4-FFF2-40B4-BE49-F238E27FC236}">
              <a16:creationId xmlns:a16="http://schemas.microsoft.com/office/drawing/2014/main" id="{00000000-0008-0000-0B00-000086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145</xdr:row>
      <xdr:rowOff>0</xdr:rowOff>
    </xdr:from>
    <xdr:ext cx="76200" cy="206375"/>
    <xdr:sp macro="" textlink="">
      <xdr:nvSpPr>
        <xdr:cNvPr id="135" name="Text Box 39">
          <a:extLst>
            <a:ext uri="{FF2B5EF4-FFF2-40B4-BE49-F238E27FC236}">
              <a16:creationId xmlns:a16="http://schemas.microsoft.com/office/drawing/2014/main" id="{00000000-0008-0000-0B00-000087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146</xdr:row>
      <xdr:rowOff>0</xdr:rowOff>
    </xdr:from>
    <xdr:ext cx="76200" cy="206375"/>
    <xdr:sp macro="" textlink="">
      <xdr:nvSpPr>
        <xdr:cNvPr id="136" name="Text Box 39">
          <a:extLst>
            <a:ext uri="{FF2B5EF4-FFF2-40B4-BE49-F238E27FC236}">
              <a16:creationId xmlns:a16="http://schemas.microsoft.com/office/drawing/2014/main" id="{00000000-0008-0000-0B00-000088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147</xdr:row>
      <xdr:rowOff>0</xdr:rowOff>
    </xdr:from>
    <xdr:ext cx="76200" cy="206375"/>
    <xdr:sp macro="" textlink="">
      <xdr:nvSpPr>
        <xdr:cNvPr id="137" name="Text Box 39">
          <a:extLst>
            <a:ext uri="{FF2B5EF4-FFF2-40B4-BE49-F238E27FC236}">
              <a16:creationId xmlns:a16="http://schemas.microsoft.com/office/drawing/2014/main" id="{00000000-0008-0000-0B00-000089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148</xdr:row>
      <xdr:rowOff>0</xdr:rowOff>
    </xdr:from>
    <xdr:ext cx="76200" cy="206375"/>
    <xdr:sp macro="" textlink="">
      <xdr:nvSpPr>
        <xdr:cNvPr id="138" name="Text Box 39">
          <a:extLst>
            <a:ext uri="{FF2B5EF4-FFF2-40B4-BE49-F238E27FC236}">
              <a16:creationId xmlns:a16="http://schemas.microsoft.com/office/drawing/2014/main" id="{00000000-0008-0000-0B00-00008A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149</xdr:row>
      <xdr:rowOff>0</xdr:rowOff>
    </xdr:from>
    <xdr:ext cx="76200" cy="206375"/>
    <xdr:sp macro="" textlink="">
      <xdr:nvSpPr>
        <xdr:cNvPr id="139" name="Text Box 39">
          <a:extLst>
            <a:ext uri="{FF2B5EF4-FFF2-40B4-BE49-F238E27FC236}">
              <a16:creationId xmlns:a16="http://schemas.microsoft.com/office/drawing/2014/main" id="{00000000-0008-0000-0B00-00008B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150</xdr:row>
      <xdr:rowOff>0</xdr:rowOff>
    </xdr:from>
    <xdr:ext cx="76200" cy="206375"/>
    <xdr:sp macro="" textlink="">
      <xdr:nvSpPr>
        <xdr:cNvPr id="140" name="Text Box 39">
          <a:extLst>
            <a:ext uri="{FF2B5EF4-FFF2-40B4-BE49-F238E27FC236}">
              <a16:creationId xmlns:a16="http://schemas.microsoft.com/office/drawing/2014/main" id="{00000000-0008-0000-0B00-00008C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151</xdr:row>
      <xdr:rowOff>0</xdr:rowOff>
    </xdr:from>
    <xdr:ext cx="76200" cy="206375"/>
    <xdr:sp macro="" textlink="">
      <xdr:nvSpPr>
        <xdr:cNvPr id="141" name="Text Box 39">
          <a:extLst>
            <a:ext uri="{FF2B5EF4-FFF2-40B4-BE49-F238E27FC236}">
              <a16:creationId xmlns:a16="http://schemas.microsoft.com/office/drawing/2014/main" id="{00000000-0008-0000-0B00-00008D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152</xdr:row>
      <xdr:rowOff>0</xdr:rowOff>
    </xdr:from>
    <xdr:ext cx="76200" cy="206375"/>
    <xdr:sp macro="" textlink="">
      <xdr:nvSpPr>
        <xdr:cNvPr id="142" name="Text Box 39">
          <a:extLst>
            <a:ext uri="{FF2B5EF4-FFF2-40B4-BE49-F238E27FC236}">
              <a16:creationId xmlns:a16="http://schemas.microsoft.com/office/drawing/2014/main" id="{00000000-0008-0000-0B00-00008E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153</xdr:row>
      <xdr:rowOff>0</xdr:rowOff>
    </xdr:from>
    <xdr:ext cx="76200" cy="206375"/>
    <xdr:sp macro="" textlink="">
      <xdr:nvSpPr>
        <xdr:cNvPr id="143" name="Text Box 39">
          <a:extLst>
            <a:ext uri="{FF2B5EF4-FFF2-40B4-BE49-F238E27FC236}">
              <a16:creationId xmlns:a16="http://schemas.microsoft.com/office/drawing/2014/main" id="{00000000-0008-0000-0B00-00008F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154</xdr:row>
      <xdr:rowOff>0</xdr:rowOff>
    </xdr:from>
    <xdr:ext cx="76200" cy="206375"/>
    <xdr:sp macro="" textlink="">
      <xdr:nvSpPr>
        <xdr:cNvPr id="144" name="Text Box 39">
          <a:extLst>
            <a:ext uri="{FF2B5EF4-FFF2-40B4-BE49-F238E27FC236}">
              <a16:creationId xmlns:a16="http://schemas.microsoft.com/office/drawing/2014/main" id="{00000000-0008-0000-0B00-000090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155</xdr:row>
      <xdr:rowOff>0</xdr:rowOff>
    </xdr:from>
    <xdr:ext cx="76200" cy="206375"/>
    <xdr:sp macro="" textlink="">
      <xdr:nvSpPr>
        <xdr:cNvPr id="145" name="Text Box 39">
          <a:extLst>
            <a:ext uri="{FF2B5EF4-FFF2-40B4-BE49-F238E27FC236}">
              <a16:creationId xmlns:a16="http://schemas.microsoft.com/office/drawing/2014/main" id="{00000000-0008-0000-0B00-000091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156</xdr:row>
      <xdr:rowOff>0</xdr:rowOff>
    </xdr:from>
    <xdr:ext cx="76200" cy="206375"/>
    <xdr:sp macro="" textlink="">
      <xdr:nvSpPr>
        <xdr:cNvPr id="146" name="Text Box 39">
          <a:extLst>
            <a:ext uri="{FF2B5EF4-FFF2-40B4-BE49-F238E27FC236}">
              <a16:creationId xmlns:a16="http://schemas.microsoft.com/office/drawing/2014/main" id="{00000000-0008-0000-0B00-000092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157</xdr:row>
      <xdr:rowOff>0</xdr:rowOff>
    </xdr:from>
    <xdr:ext cx="76200" cy="206375"/>
    <xdr:sp macro="" textlink="">
      <xdr:nvSpPr>
        <xdr:cNvPr id="147" name="Text Box 39">
          <a:extLst>
            <a:ext uri="{FF2B5EF4-FFF2-40B4-BE49-F238E27FC236}">
              <a16:creationId xmlns:a16="http://schemas.microsoft.com/office/drawing/2014/main" id="{00000000-0008-0000-0B00-000093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158</xdr:row>
      <xdr:rowOff>0</xdr:rowOff>
    </xdr:from>
    <xdr:ext cx="76200" cy="206375"/>
    <xdr:sp macro="" textlink="">
      <xdr:nvSpPr>
        <xdr:cNvPr id="148" name="Text Box 39">
          <a:extLst>
            <a:ext uri="{FF2B5EF4-FFF2-40B4-BE49-F238E27FC236}">
              <a16:creationId xmlns:a16="http://schemas.microsoft.com/office/drawing/2014/main" id="{00000000-0008-0000-0B00-000094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159</xdr:row>
      <xdr:rowOff>0</xdr:rowOff>
    </xdr:from>
    <xdr:ext cx="76200" cy="206375"/>
    <xdr:sp macro="" textlink="">
      <xdr:nvSpPr>
        <xdr:cNvPr id="149" name="Text Box 39">
          <a:extLst>
            <a:ext uri="{FF2B5EF4-FFF2-40B4-BE49-F238E27FC236}">
              <a16:creationId xmlns:a16="http://schemas.microsoft.com/office/drawing/2014/main" id="{00000000-0008-0000-0B00-000095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160</xdr:row>
      <xdr:rowOff>0</xdr:rowOff>
    </xdr:from>
    <xdr:ext cx="76200" cy="206375"/>
    <xdr:sp macro="" textlink="">
      <xdr:nvSpPr>
        <xdr:cNvPr id="150" name="Text Box 39">
          <a:extLst>
            <a:ext uri="{FF2B5EF4-FFF2-40B4-BE49-F238E27FC236}">
              <a16:creationId xmlns:a16="http://schemas.microsoft.com/office/drawing/2014/main" id="{00000000-0008-0000-0B00-000096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161</xdr:row>
      <xdr:rowOff>0</xdr:rowOff>
    </xdr:from>
    <xdr:ext cx="76200" cy="206375"/>
    <xdr:sp macro="" textlink="">
      <xdr:nvSpPr>
        <xdr:cNvPr id="151" name="Text Box 39">
          <a:extLst>
            <a:ext uri="{FF2B5EF4-FFF2-40B4-BE49-F238E27FC236}">
              <a16:creationId xmlns:a16="http://schemas.microsoft.com/office/drawing/2014/main" id="{00000000-0008-0000-0B00-000097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162</xdr:row>
      <xdr:rowOff>0</xdr:rowOff>
    </xdr:from>
    <xdr:ext cx="76200" cy="206375"/>
    <xdr:sp macro="" textlink="">
      <xdr:nvSpPr>
        <xdr:cNvPr id="152" name="Text Box 39">
          <a:extLst>
            <a:ext uri="{FF2B5EF4-FFF2-40B4-BE49-F238E27FC236}">
              <a16:creationId xmlns:a16="http://schemas.microsoft.com/office/drawing/2014/main" id="{00000000-0008-0000-0B00-000098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163</xdr:row>
      <xdr:rowOff>0</xdr:rowOff>
    </xdr:from>
    <xdr:ext cx="76200" cy="206375"/>
    <xdr:sp macro="" textlink="">
      <xdr:nvSpPr>
        <xdr:cNvPr id="153" name="Text Box 39">
          <a:extLst>
            <a:ext uri="{FF2B5EF4-FFF2-40B4-BE49-F238E27FC236}">
              <a16:creationId xmlns:a16="http://schemas.microsoft.com/office/drawing/2014/main" id="{00000000-0008-0000-0B00-000099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164</xdr:row>
      <xdr:rowOff>0</xdr:rowOff>
    </xdr:from>
    <xdr:ext cx="76200" cy="206375"/>
    <xdr:sp macro="" textlink="">
      <xdr:nvSpPr>
        <xdr:cNvPr id="154" name="Text Box 39">
          <a:extLst>
            <a:ext uri="{FF2B5EF4-FFF2-40B4-BE49-F238E27FC236}">
              <a16:creationId xmlns:a16="http://schemas.microsoft.com/office/drawing/2014/main" id="{00000000-0008-0000-0B00-00009A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165</xdr:row>
      <xdr:rowOff>0</xdr:rowOff>
    </xdr:from>
    <xdr:ext cx="76200" cy="206375"/>
    <xdr:sp macro="" textlink="">
      <xdr:nvSpPr>
        <xdr:cNvPr id="155" name="Text Box 39">
          <a:extLst>
            <a:ext uri="{FF2B5EF4-FFF2-40B4-BE49-F238E27FC236}">
              <a16:creationId xmlns:a16="http://schemas.microsoft.com/office/drawing/2014/main" id="{00000000-0008-0000-0B00-00009B000000}"/>
            </a:ext>
          </a:extLst>
        </xdr:cNvPr>
        <xdr:cNvSpPr txBox="1">
          <a:spLocks noChangeArrowheads="1"/>
        </xdr:cNvSpPr>
      </xdr:nvSpPr>
      <xdr:spPr bwMode="auto">
        <a:xfrm>
          <a:off x="2926953" y="2540000"/>
          <a:ext cx="76200" cy="206375"/>
        </a:xfrm>
        <a:prstGeom prst="rect">
          <a:avLst/>
        </a:prstGeom>
        <a:noFill/>
        <a:ln w="9525">
          <a:noFill/>
          <a:miter lim="800000"/>
          <a:headEnd/>
          <a:tailEnd/>
        </a:ln>
      </xdr:spPr>
    </xdr:sp>
    <xdr:clientData/>
  </xdr:oneCellAnchor>
  <xdr:oneCellAnchor>
    <xdr:from>
      <xdr:col>4</xdr:col>
      <xdr:colOff>0</xdr:colOff>
      <xdr:row>193</xdr:row>
      <xdr:rowOff>0</xdr:rowOff>
    </xdr:from>
    <xdr:ext cx="76200" cy="206375"/>
    <xdr:sp macro="" textlink="">
      <xdr:nvSpPr>
        <xdr:cNvPr id="156" name="Text Box 42">
          <a:extLst>
            <a:ext uri="{FF2B5EF4-FFF2-40B4-BE49-F238E27FC236}">
              <a16:creationId xmlns:a16="http://schemas.microsoft.com/office/drawing/2014/main" id="{00000000-0008-0000-0B00-00009C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193</xdr:row>
      <xdr:rowOff>0</xdr:rowOff>
    </xdr:from>
    <xdr:ext cx="76200" cy="206375"/>
    <xdr:sp macro="" textlink="">
      <xdr:nvSpPr>
        <xdr:cNvPr id="157" name="Text Box 43">
          <a:extLst>
            <a:ext uri="{FF2B5EF4-FFF2-40B4-BE49-F238E27FC236}">
              <a16:creationId xmlns:a16="http://schemas.microsoft.com/office/drawing/2014/main" id="{00000000-0008-0000-0B00-00009D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194</xdr:row>
      <xdr:rowOff>0</xdr:rowOff>
    </xdr:from>
    <xdr:ext cx="76200" cy="206375"/>
    <xdr:sp macro="" textlink="">
      <xdr:nvSpPr>
        <xdr:cNvPr id="158" name="Text Box 42">
          <a:extLst>
            <a:ext uri="{FF2B5EF4-FFF2-40B4-BE49-F238E27FC236}">
              <a16:creationId xmlns:a16="http://schemas.microsoft.com/office/drawing/2014/main" id="{00000000-0008-0000-0B00-00009E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194</xdr:row>
      <xdr:rowOff>0</xdr:rowOff>
    </xdr:from>
    <xdr:ext cx="76200" cy="206375"/>
    <xdr:sp macro="" textlink="">
      <xdr:nvSpPr>
        <xdr:cNvPr id="159" name="Text Box 43">
          <a:extLst>
            <a:ext uri="{FF2B5EF4-FFF2-40B4-BE49-F238E27FC236}">
              <a16:creationId xmlns:a16="http://schemas.microsoft.com/office/drawing/2014/main" id="{00000000-0008-0000-0B00-00009F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195</xdr:row>
      <xdr:rowOff>0</xdr:rowOff>
    </xdr:from>
    <xdr:ext cx="76200" cy="206375"/>
    <xdr:sp macro="" textlink="">
      <xdr:nvSpPr>
        <xdr:cNvPr id="160" name="Text Box 42">
          <a:extLst>
            <a:ext uri="{FF2B5EF4-FFF2-40B4-BE49-F238E27FC236}">
              <a16:creationId xmlns:a16="http://schemas.microsoft.com/office/drawing/2014/main" id="{00000000-0008-0000-0B00-0000A0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195</xdr:row>
      <xdr:rowOff>0</xdr:rowOff>
    </xdr:from>
    <xdr:ext cx="76200" cy="206375"/>
    <xdr:sp macro="" textlink="">
      <xdr:nvSpPr>
        <xdr:cNvPr id="161" name="Text Box 43">
          <a:extLst>
            <a:ext uri="{FF2B5EF4-FFF2-40B4-BE49-F238E27FC236}">
              <a16:creationId xmlns:a16="http://schemas.microsoft.com/office/drawing/2014/main" id="{00000000-0008-0000-0B00-0000A1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196</xdr:row>
      <xdr:rowOff>0</xdr:rowOff>
    </xdr:from>
    <xdr:ext cx="76200" cy="206375"/>
    <xdr:sp macro="" textlink="">
      <xdr:nvSpPr>
        <xdr:cNvPr id="162" name="Text Box 42">
          <a:extLst>
            <a:ext uri="{FF2B5EF4-FFF2-40B4-BE49-F238E27FC236}">
              <a16:creationId xmlns:a16="http://schemas.microsoft.com/office/drawing/2014/main" id="{00000000-0008-0000-0B00-0000A2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196</xdr:row>
      <xdr:rowOff>0</xdr:rowOff>
    </xdr:from>
    <xdr:ext cx="76200" cy="206375"/>
    <xdr:sp macro="" textlink="">
      <xdr:nvSpPr>
        <xdr:cNvPr id="163" name="Text Box 43">
          <a:extLst>
            <a:ext uri="{FF2B5EF4-FFF2-40B4-BE49-F238E27FC236}">
              <a16:creationId xmlns:a16="http://schemas.microsoft.com/office/drawing/2014/main" id="{00000000-0008-0000-0B00-0000A3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197</xdr:row>
      <xdr:rowOff>0</xdr:rowOff>
    </xdr:from>
    <xdr:ext cx="76200" cy="206375"/>
    <xdr:sp macro="" textlink="">
      <xdr:nvSpPr>
        <xdr:cNvPr id="164" name="Text Box 42">
          <a:extLst>
            <a:ext uri="{FF2B5EF4-FFF2-40B4-BE49-F238E27FC236}">
              <a16:creationId xmlns:a16="http://schemas.microsoft.com/office/drawing/2014/main" id="{00000000-0008-0000-0B00-0000A4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197</xdr:row>
      <xdr:rowOff>0</xdr:rowOff>
    </xdr:from>
    <xdr:ext cx="76200" cy="206375"/>
    <xdr:sp macro="" textlink="">
      <xdr:nvSpPr>
        <xdr:cNvPr id="165" name="Text Box 43">
          <a:extLst>
            <a:ext uri="{FF2B5EF4-FFF2-40B4-BE49-F238E27FC236}">
              <a16:creationId xmlns:a16="http://schemas.microsoft.com/office/drawing/2014/main" id="{00000000-0008-0000-0B00-0000A5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198</xdr:row>
      <xdr:rowOff>0</xdr:rowOff>
    </xdr:from>
    <xdr:ext cx="76200" cy="206375"/>
    <xdr:sp macro="" textlink="">
      <xdr:nvSpPr>
        <xdr:cNvPr id="166" name="Text Box 42">
          <a:extLst>
            <a:ext uri="{FF2B5EF4-FFF2-40B4-BE49-F238E27FC236}">
              <a16:creationId xmlns:a16="http://schemas.microsoft.com/office/drawing/2014/main" id="{00000000-0008-0000-0B00-0000A6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198</xdr:row>
      <xdr:rowOff>0</xdr:rowOff>
    </xdr:from>
    <xdr:ext cx="76200" cy="206375"/>
    <xdr:sp macro="" textlink="">
      <xdr:nvSpPr>
        <xdr:cNvPr id="167" name="Text Box 43">
          <a:extLst>
            <a:ext uri="{FF2B5EF4-FFF2-40B4-BE49-F238E27FC236}">
              <a16:creationId xmlns:a16="http://schemas.microsoft.com/office/drawing/2014/main" id="{00000000-0008-0000-0B00-0000A7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199</xdr:row>
      <xdr:rowOff>0</xdr:rowOff>
    </xdr:from>
    <xdr:ext cx="76200" cy="206375"/>
    <xdr:sp macro="" textlink="">
      <xdr:nvSpPr>
        <xdr:cNvPr id="168" name="Text Box 42">
          <a:extLst>
            <a:ext uri="{FF2B5EF4-FFF2-40B4-BE49-F238E27FC236}">
              <a16:creationId xmlns:a16="http://schemas.microsoft.com/office/drawing/2014/main" id="{00000000-0008-0000-0B00-0000A8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199</xdr:row>
      <xdr:rowOff>0</xdr:rowOff>
    </xdr:from>
    <xdr:ext cx="76200" cy="206375"/>
    <xdr:sp macro="" textlink="">
      <xdr:nvSpPr>
        <xdr:cNvPr id="169" name="Text Box 43">
          <a:extLst>
            <a:ext uri="{FF2B5EF4-FFF2-40B4-BE49-F238E27FC236}">
              <a16:creationId xmlns:a16="http://schemas.microsoft.com/office/drawing/2014/main" id="{00000000-0008-0000-0B00-0000A9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200</xdr:row>
      <xdr:rowOff>0</xdr:rowOff>
    </xdr:from>
    <xdr:ext cx="76200" cy="206375"/>
    <xdr:sp macro="" textlink="">
      <xdr:nvSpPr>
        <xdr:cNvPr id="170" name="Text Box 42">
          <a:extLst>
            <a:ext uri="{FF2B5EF4-FFF2-40B4-BE49-F238E27FC236}">
              <a16:creationId xmlns:a16="http://schemas.microsoft.com/office/drawing/2014/main" id="{00000000-0008-0000-0B00-0000AA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200</xdr:row>
      <xdr:rowOff>0</xdr:rowOff>
    </xdr:from>
    <xdr:ext cx="76200" cy="206375"/>
    <xdr:sp macro="" textlink="">
      <xdr:nvSpPr>
        <xdr:cNvPr id="171" name="Text Box 43">
          <a:extLst>
            <a:ext uri="{FF2B5EF4-FFF2-40B4-BE49-F238E27FC236}">
              <a16:creationId xmlns:a16="http://schemas.microsoft.com/office/drawing/2014/main" id="{00000000-0008-0000-0B00-0000AB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201</xdr:row>
      <xdr:rowOff>0</xdr:rowOff>
    </xdr:from>
    <xdr:ext cx="76200" cy="206375"/>
    <xdr:sp macro="" textlink="">
      <xdr:nvSpPr>
        <xdr:cNvPr id="172" name="Text Box 42">
          <a:extLst>
            <a:ext uri="{FF2B5EF4-FFF2-40B4-BE49-F238E27FC236}">
              <a16:creationId xmlns:a16="http://schemas.microsoft.com/office/drawing/2014/main" id="{00000000-0008-0000-0B00-0000AC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201</xdr:row>
      <xdr:rowOff>0</xdr:rowOff>
    </xdr:from>
    <xdr:ext cx="76200" cy="206375"/>
    <xdr:sp macro="" textlink="">
      <xdr:nvSpPr>
        <xdr:cNvPr id="173" name="Text Box 43">
          <a:extLst>
            <a:ext uri="{FF2B5EF4-FFF2-40B4-BE49-F238E27FC236}">
              <a16:creationId xmlns:a16="http://schemas.microsoft.com/office/drawing/2014/main" id="{00000000-0008-0000-0B00-0000AD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202</xdr:row>
      <xdr:rowOff>0</xdr:rowOff>
    </xdr:from>
    <xdr:ext cx="76200" cy="206375"/>
    <xdr:sp macro="" textlink="">
      <xdr:nvSpPr>
        <xdr:cNvPr id="174" name="Text Box 42">
          <a:extLst>
            <a:ext uri="{FF2B5EF4-FFF2-40B4-BE49-F238E27FC236}">
              <a16:creationId xmlns:a16="http://schemas.microsoft.com/office/drawing/2014/main" id="{00000000-0008-0000-0B00-0000AE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202</xdr:row>
      <xdr:rowOff>0</xdr:rowOff>
    </xdr:from>
    <xdr:ext cx="76200" cy="206375"/>
    <xdr:sp macro="" textlink="">
      <xdr:nvSpPr>
        <xdr:cNvPr id="175" name="Text Box 43">
          <a:extLst>
            <a:ext uri="{FF2B5EF4-FFF2-40B4-BE49-F238E27FC236}">
              <a16:creationId xmlns:a16="http://schemas.microsoft.com/office/drawing/2014/main" id="{00000000-0008-0000-0B00-0000AF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203</xdr:row>
      <xdr:rowOff>0</xdr:rowOff>
    </xdr:from>
    <xdr:ext cx="76200" cy="206375"/>
    <xdr:sp macro="" textlink="">
      <xdr:nvSpPr>
        <xdr:cNvPr id="176" name="Text Box 42">
          <a:extLst>
            <a:ext uri="{FF2B5EF4-FFF2-40B4-BE49-F238E27FC236}">
              <a16:creationId xmlns:a16="http://schemas.microsoft.com/office/drawing/2014/main" id="{00000000-0008-0000-0B00-0000B0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203</xdr:row>
      <xdr:rowOff>0</xdr:rowOff>
    </xdr:from>
    <xdr:ext cx="76200" cy="206375"/>
    <xdr:sp macro="" textlink="">
      <xdr:nvSpPr>
        <xdr:cNvPr id="177" name="Text Box 43">
          <a:extLst>
            <a:ext uri="{FF2B5EF4-FFF2-40B4-BE49-F238E27FC236}">
              <a16:creationId xmlns:a16="http://schemas.microsoft.com/office/drawing/2014/main" id="{00000000-0008-0000-0B00-0000B1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204</xdr:row>
      <xdr:rowOff>0</xdr:rowOff>
    </xdr:from>
    <xdr:ext cx="76200" cy="206375"/>
    <xdr:sp macro="" textlink="">
      <xdr:nvSpPr>
        <xdr:cNvPr id="178" name="Text Box 42">
          <a:extLst>
            <a:ext uri="{FF2B5EF4-FFF2-40B4-BE49-F238E27FC236}">
              <a16:creationId xmlns:a16="http://schemas.microsoft.com/office/drawing/2014/main" id="{00000000-0008-0000-0B00-0000B2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204</xdr:row>
      <xdr:rowOff>0</xdr:rowOff>
    </xdr:from>
    <xdr:ext cx="76200" cy="206375"/>
    <xdr:sp macro="" textlink="">
      <xdr:nvSpPr>
        <xdr:cNvPr id="179" name="Text Box 43">
          <a:extLst>
            <a:ext uri="{FF2B5EF4-FFF2-40B4-BE49-F238E27FC236}">
              <a16:creationId xmlns:a16="http://schemas.microsoft.com/office/drawing/2014/main" id="{00000000-0008-0000-0B00-0000B3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205</xdr:row>
      <xdr:rowOff>0</xdr:rowOff>
    </xdr:from>
    <xdr:ext cx="76200" cy="206375"/>
    <xdr:sp macro="" textlink="">
      <xdr:nvSpPr>
        <xdr:cNvPr id="180" name="Text Box 42">
          <a:extLst>
            <a:ext uri="{FF2B5EF4-FFF2-40B4-BE49-F238E27FC236}">
              <a16:creationId xmlns:a16="http://schemas.microsoft.com/office/drawing/2014/main" id="{00000000-0008-0000-0B00-0000B4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205</xdr:row>
      <xdr:rowOff>0</xdr:rowOff>
    </xdr:from>
    <xdr:ext cx="76200" cy="206375"/>
    <xdr:sp macro="" textlink="">
      <xdr:nvSpPr>
        <xdr:cNvPr id="181" name="Text Box 43">
          <a:extLst>
            <a:ext uri="{FF2B5EF4-FFF2-40B4-BE49-F238E27FC236}">
              <a16:creationId xmlns:a16="http://schemas.microsoft.com/office/drawing/2014/main" id="{00000000-0008-0000-0B00-0000B5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206</xdr:row>
      <xdr:rowOff>0</xdr:rowOff>
    </xdr:from>
    <xdr:ext cx="76200" cy="206375"/>
    <xdr:sp macro="" textlink="">
      <xdr:nvSpPr>
        <xdr:cNvPr id="182" name="Text Box 42">
          <a:extLst>
            <a:ext uri="{FF2B5EF4-FFF2-40B4-BE49-F238E27FC236}">
              <a16:creationId xmlns:a16="http://schemas.microsoft.com/office/drawing/2014/main" id="{00000000-0008-0000-0B00-0000B6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206</xdr:row>
      <xdr:rowOff>0</xdr:rowOff>
    </xdr:from>
    <xdr:ext cx="76200" cy="206375"/>
    <xdr:sp macro="" textlink="">
      <xdr:nvSpPr>
        <xdr:cNvPr id="183" name="Text Box 43">
          <a:extLst>
            <a:ext uri="{FF2B5EF4-FFF2-40B4-BE49-F238E27FC236}">
              <a16:creationId xmlns:a16="http://schemas.microsoft.com/office/drawing/2014/main" id="{00000000-0008-0000-0B00-0000B7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207</xdr:row>
      <xdr:rowOff>0</xdr:rowOff>
    </xdr:from>
    <xdr:ext cx="76200" cy="206375"/>
    <xdr:sp macro="" textlink="">
      <xdr:nvSpPr>
        <xdr:cNvPr id="184" name="Text Box 42">
          <a:extLst>
            <a:ext uri="{FF2B5EF4-FFF2-40B4-BE49-F238E27FC236}">
              <a16:creationId xmlns:a16="http://schemas.microsoft.com/office/drawing/2014/main" id="{00000000-0008-0000-0B00-0000B8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207</xdr:row>
      <xdr:rowOff>0</xdr:rowOff>
    </xdr:from>
    <xdr:ext cx="76200" cy="206375"/>
    <xdr:sp macro="" textlink="">
      <xdr:nvSpPr>
        <xdr:cNvPr id="185" name="Text Box 43">
          <a:extLst>
            <a:ext uri="{FF2B5EF4-FFF2-40B4-BE49-F238E27FC236}">
              <a16:creationId xmlns:a16="http://schemas.microsoft.com/office/drawing/2014/main" id="{00000000-0008-0000-0B00-0000B9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208</xdr:row>
      <xdr:rowOff>0</xdr:rowOff>
    </xdr:from>
    <xdr:ext cx="76200" cy="206375"/>
    <xdr:sp macro="" textlink="">
      <xdr:nvSpPr>
        <xdr:cNvPr id="186" name="Text Box 42">
          <a:extLst>
            <a:ext uri="{FF2B5EF4-FFF2-40B4-BE49-F238E27FC236}">
              <a16:creationId xmlns:a16="http://schemas.microsoft.com/office/drawing/2014/main" id="{00000000-0008-0000-0B00-0000BA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208</xdr:row>
      <xdr:rowOff>0</xdr:rowOff>
    </xdr:from>
    <xdr:ext cx="76200" cy="206375"/>
    <xdr:sp macro="" textlink="">
      <xdr:nvSpPr>
        <xdr:cNvPr id="187" name="Text Box 43">
          <a:extLst>
            <a:ext uri="{FF2B5EF4-FFF2-40B4-BE49-F238E27FC236}">
              <a16:creationId xmlns:a16="http://schemas.microsoft.com/office/drawing/2014/main" id="{00000000-0008-0000-0B00-0000BB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209</xdr:row>
      <xdr:rowOff>0</xdr:rowOff>
    </xdr:from>
    <xdr:ext cx="76200" cy="206375"/>
    <xdr:sp macro="" textlink="">
      <xdr:nvSpPr>
        <xdr:cNvPr id="188" name="Text Box 42">
          <a:extLst>
            <a:ext uri="{FF2B5EF4-FFF2-40B4-BE49-F238E27FC236}">
              <a16:creationId xmlns:a16="http://schemas.microsoft.com/office/drawing/2014/main" id="{00000000-0008-0000-0B00-0000BC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209</xdr:row>
      <xdr:rowOff>0</xdr:rowOff>
    </xdr:from>
    <xdr:ext cx="76200" cy="206375"/>
    <xdr:sp macro="" textlink="">
      <xdr:nvSpPr>
        <xdr:cNvPr id="189" name="Text Box 43">
          <a:extLst>
            <a:ext uri="{FF2B5EF4-FFF2-40B4-BE49-F238E27FC236}">
              <a16:creationId xmlns:a16="http://schemas.microsoft.com/office/drawing/2014/main" id="{00000000-0008-0000-0B00-0000BD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210</xdr:row>
      <xdr:rowOff>0</xdr:rowOff>
    </xdr:from>
    <xdr:ext cx="76200" cy="206375"/>
    <xdr:sp macro="" textlink="">
      <xdr:nvSpPr>
        <xdr:cNvPr id="190" name="Text Box 42">
          <a:extLst>
            <a:ext uri="{FF2B5EF4-FFF2-40B4-BE49-F238E27FC236}">
              <a16:creationId xmlns:a16="http://schemas.microsoft.com/office/drawing/2014/main" id="{00000000-0008-0000-0B00-0000BE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210</xdr:row>
      <xdr:rowOff>0</xdr:rowOff>
    </xdr:from>
    <xdr:ext cx="76200" cy="206375"/>
    <xdr:sp macro="" textlink="">
      <xdr:nvSpPr>
        <xdr:cNvPr id="191" name="Text Box 43">
          <a:extLst>
            <a:ext uri="{FF2B5EF4-FFF2-40B4-BE49-F238E27FC236}">
              <a16:creationId xmlns:a16="http://schemas.microsoft.com/office/drawing/2014/main" id="{00000000-0008-0000-0B00-0000BF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211</xdr:row>
      <xdr:rowOff>0</xdr:rowOff>
    </xdr:from>
    <xdr:ext cx="76200" cy="206375"/>
    <xdr:sp macro="" textlink="">
      <xdr:nvSpPr>
        <xdr:cNvPr id="192" name="Text Box 42">
          <a:extLst>
            <a:ext uri="{FF2B5EF4-FFF2-40B4-BE49-F238E27FC236}">
              <a16:creationId xmlns:a16="http://schemas.microsoft.com/office/drawing/2014/main" id="{00000000-0008-0000-0B00-0000C0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211</xdr:row>
      <xdr:rowOff>0</xdr:rowOff>
    </xdr:from>
    <xdr:ext cx="76200" cy="206375"/>
    <xdr:sp macro="" textlink="">
      <xdr:nvSpPr>
        <xdr:cNvPr id="193" name="Text Box 43">
          <a:extLst>
            <a:ext uri="{FF2B5EF4-FFF2-40B4-BE49-F238E27FC236}">
              <a16:creationId xmlns:a16="http://schemas.microsoft.com/office/drawing/2014/main" id="{00000000-0008-0000-0B00-0000C1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212</xdr:row>
      <xdr:rowOff>0</xdr:rowOff>
    </xdr:from>
    <xdr:ext cx="76200" cy="206375"/>
    <xdr:sp macro="" textlink="">
      <xdr:nvSpPr>
        <xdr:cNvPr id="194" name="Text Box 42">
          <a:extLst>
            <a:ext uri="{FF2B5EF4-FFF2-40B4-BE49-F238E27FC236}">
              <a16:creationId xmlns:a16="http://schemas.microsoft.com/office/drawing/2014/main" id="{00000000-0008-0000-0B00-0000C2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212</xdr:row>
      <xdr:rowOff>0</xdr:rowOff>
    </xdr:from>
    <xdr:ext cx="76200" cy="206375"/>
    <xdr:sp macro="" textlink="">
      <xdr:nvSpPr>
        <xdr:cNvPr id="195" name="Text Box 43">
          <a:extLst>
            <a:ext uri="{FF2B5EF4-FFF2-40B4-BE49-F238E27FC236}">
              <a16:creationId xmlns:a16="http://schemas.microsoft.com/office/drawing/2014/main" id="{00000000-0008-0000-0B00-0000C3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213</xdr:row>
      <xdr:rowOff>0</xdr:rowOff>
    </xdr:from>
    <xdr:ext cx="76200" cy="206375"/>
    <xdr:sp macro="" textlink="">
      <xdr:nvSpPr>
        <xdr:cNvPr id="196" name="Text Box 42">
          <a:extLst>
            <a:ext uri="{FF2B5EF4-FFF2-40B4-BE49-F238E27FC236}">
              <a16:creationId xmlns:a16="http://schemas.microsoft.com/office/drawing/2014/main" id="{00000000-0008-0000-0B00-0000C4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213</xdr:row>
      <xdr:rowOff>0</xdr:rowOff>
    </xdr:from>
    <xdr:ext cx="76200" cy="206375"/>
    <xdr:sp macro="" textlink="">
      <xdr:nvSpPr>
        <xdr:cNvPr id="197" name="Text Box 43">
          <a:extLst>
            <a:ext uri="{FF2B5EF4-FFF2-40B4-BE49-F238E27FC236}">
              <a16:creationId xmlns:a16="http://schemas.microsoft.com/office/drawing/2014/main" id="{00000000-0008-0000-0B00-0000C5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214</xdr:row>
      <xdr:rowOff>0</xdr:rowOff>
    </xdr:from>
    <xdr:ext cx="76200" cy="206375"/>
    <xdr:sp macro="" textlink="">
      <xdr:nvSpPr>
        <xdr:cNvPr id="198" name="Text Box 42">
          <a:extLst>
            <a:ext uri="{FF2B5EF4-FFF2-40B4-BE49-F238E27FC236}">
              <a16:creationId xmlns:a16="http://schemas.microsoft.com/office/drawing/2014/main" id="{00000000-0008-0000-0B00-0000C6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214</xdr:row>
      <xdr:rowOff>0</xdr:rowOff>
    </xdr:from>
    <xdr:ext cx="76200" cy="206375"/>
    <xdr:sp macro="" textlink="">
      <xdr:nvSpPr>
        <xdr:cNvPr id="199" name="Text Box 43">
          <a:extLst>
            <a:ext uri="{FF2B5EF4-FFF2-40B4-BE49-F238E27FC236}">
              <a16:creationId xmlns:a16="http://schemas.microsoft.com/office/drawing/2014/main" id="{00000000-0008-0000-0B00-0000C7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215</xdr:row>
      <xdr:rowOff>0</xdr:rowOff>
    </xdr:from>
    <xdr:ext cx="76200" cy="206375"/>
    <xdr:sp macro="" textlink="">
      <xdr:nvSpPr>
        <xdr:cNvPr id="200" name="Text Box 42">
          <a:extLst>
            <a:ext uri="{FF2B5EF4-FFF2-40B4-BE49-F238E27FC236}">
              <a16:creationId xmlns:a16="http://schemas.microsoft.com/office/drawing/2014/main" id="{00000000-0008-0000-0B00-0000C8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215</xdr:row>
      <xdr:rowOff>0</xdr:rowOff>
    </xdr:from>
    <xdr:ext cx="76200" cy="206375"/>
    <xdr:sp macro="" textlink="">
      <xdr:nvSpPr>
        <xdr:cNvPr id="201" name="Text Box 43">
          <a:extLst>
            <a:ext uri="{FF2B5EF4-FFF2-40B4-BE49-F238E27FC236}">
              <a16:creationId xmlns:a16="http://schemas.microsoft.com/office/drawing/2014/main" id="{00000000-0008-0000-0B00-0000C9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216</xdr:row>
      <xdr:rowOff>0</xdr:rowOff>
    </xdr:from>
    <xdr:ext cx="76200" cy="206375"/>
    <xdr:sp macro="" textlink="">
      <xdr:nvSpPr>
        <xdr:cNvPr id="202" name="Text Box 42">
          <a:extLst>
            <a:ext uri="{FF2B5EF4-FFF2-40B4-BE49-F238E27FC236}">
              <a16:creationId xmlns:a16="http://schemas.microsoft.com/office/drawing/2014/main" id="{00000000-0008-0000-0B00-0000CA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216</xdr:row>
      <xdr:rowOff>0</xdr:rowOff>
    </xdr:from>
    <xdr:ext cx="76200" cy="206375"/>
    <xdr:sp macro="" textlink="">
      <xdr:nvSpPr>
        <xdr:cNvPr id="203" name="Text Box 43">
          <a:extLst>
            <a:ext uri="{FF2B5EF4-FFF2-40B4-BE49-F238E27FC236}">
              <a16:creationId xmlns:a16="http://schemas.microsoft.com/office/drawing/2014/main" id="{00000000-0008-0000-0B00-0000CB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217</xdr:row>
      <xdr:rowOff>0</xdr:rowOff>
    </xdr:from>
    <xdr:ext cx="76200" cy="206375"/>
    <xdr:sp macro="" textlink="">
      <xdr:nvSpPr>
        <xdr:cNvPr id="204" name="Text Box 42">
          <a:extLst>
            <a:ext uri="{FF2B5EF4-FFF2-40B4-BE49-F238E27FC236}">
              <a16:creationId xmlns:a16="http://schemas.microsoft.com/office/drawing/2014/main" id="{00000000-0008-0000-0B00-0000CC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217</xdr:row>
      <xdr:rowOff>0</xdr:rowOff>
    </xdr:from>
    <xdr:ext cx="76200" cy="206375"/>
    <xdr:sp macro="" textlink="">
      <xdr:nvSpPr>
        <xdr:cNvPr id="205" name="Text Box 43">
          <a:extLst>
            <a:ext uri="{FF2B5EF4-FFF2-40B4-BE49-F238E27FC236}">
              <a16:creationId xmlns:a16="http://schemas.microsoft.com/office/drawing/2014/main" id="{00000000-0008-0000-0B00-0000CD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218</xdr:row>
      <xdr:rowOff>0</xdr:rowOff>
    </xdr:from>
    <xdr:ext cx="76200" cy="206375"/>
    <xdr:sp macro="" textlink="">
      <xdr:nvSpPr>
        <xdr:cNvPr id="206" name="Text Box 42">
          <a:extLst>
            <a:ext uri="{FF2B5EF4-FFF2-40B4-BE49-F238E27FC236}">
              <a16:creationId xmlns:a16="http://schemas.microsoft.com/office/drawing/2014/main" id="{00000000-0008-0000-0B00-0000CE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218</xdr:row>
      <xdr:rowOff>0</xdr:rowOff>
    </xdr:from>
    <xdr:ext cx="76200" cy="206375"/>
    <xdr:sp macro="" textlink="">
      <xdr:nvSpPr>
        <xdr:cNvPr id="207" name="Text Box 43">
          <a:extLst>
            <a:ext uri="{FF2B5EF4-FFF2-40B4-BE49-F238E27FC236}">
              <a16:creationId xmlns:a16="http://schemas.microsoft.com/office/drawing/2014/main" id="{00000000-0008-0000-0B00-0000CF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219</xdr:row>
      <xdr:rowOff>0</xdr:rowOff>
    </xdr:from>
    <xdr:ext cx="76200" cy="206375"/>
    <xdr:sp macro="" textlink="">
      <xdr:nvSpPr>
        <xdr:cNvPr id="208" name="Text Box 42">
          <a:extLst>
            <a:ext uri="{FF2B5EF4-FFF2-40B4-BE49-F238E27FC236}">
              <a16:creationId xmlns:a16="http://schemas.microsoft.com/office/drawing/2014/main" id="{00000000-0008-0000-0B00-0000D0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219</xdr:row>
      <xdr:rowOff>0</xdr:rowOff>
    </xdr:from>
    <xdr:ext cx="76200" cy="206375"/>
    <xdr:sp macro="" textlink="">
      <xdr:nvSpPr>
        <xdr:cNvPr id="209" name="Text Box 43">
          <a:extLst>
            <a:ext uri="{FF2B5EF4-FFF2-40B4-BE49-F238E27FC236}">
              <a16:creationId xmlns:a16="http://schemas.microsoft.com/office/drawing/2014/main" id="{00000000-0008-0000-0B00-0000D1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220</xdr:row>
      <xdr:rowOff>0</xdr:rowOff>
    </xdr:from>
    <xdr:ext cx="76200" cy="206375"/>
    <xdr:sp macro="" textlink="">
      <xdr:nvSpPr>
        <xdr:cNvPr id="210" name="Text Box 42">
          <a:extLst>
            <a:ext uri="{FF2B5EF4-FFF2-40B4-BE49-F238E27FC236}">
              <a16:creationId xmlns:a16="http://schemas.microsoft.com/office/drawing/2014/main" id="{00000000-0008-0000-0B00-0000D2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220</xdr:row>
      <xdr:rowOff>0</xdr:rowOff>
    </xdr:from>
    <xdr:ext cx="76200" cy="206375"/>
    <xdr:sp macro="" textlink="">
      <xdr:nvSpPr>
        <xdr:cNvPr id="211" name="Text Box 43">
          <a:extLst>
            <a:ext uri="{FF2B5EF4-FFF2-40B4-BE49-F238E27FC236}">
              <a16:creationId xmlns:a16="http://schemas.microsoft.com/office/drawing/2014/main" id="{00000000-0008-0000-0B00-0000D3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221</xdr:row>
      <xdr:rowOff>0</xdr:rowOff>
    </xdr:from>
    <xdr:ext cx="76200" cy="206375"/>
    <xdr:sp macro="" textlink="">
      <xdr:nvSpPr>
        <xdr:cNvPr id="212" name="Text Box 42">
          <a:extLst>
            <a:ext uri="{FF2B5EF4-FFF2-40B4-BE49-F238E27FC236}">
              <a16:creationId xmlns:a16="http://schemas.microsoft.com/office/drawing/2014/main" id="{00000000-0008-0000-0B00-0000D4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221</xdr:row>
      <xdr:rowOff>0</xdr:rowOff>
    </xdr:from>
    <xdr:ext cx="76200" cy="206375"/>
    <xdr:sp macro="" textlink="">
      <xdr:nvSpPr>
        <xdr:cNvPr id="213" name="Text Box 43">
          <a:extLst>
            <a:ext uri="{FF2B5EF4-FFF2-40B4-BE49-F238E27FC236}">
              <a16:creationId xmlns:a16="http://schemas.microsoft.com/office/drawing/2014/main" id="{00000000-0008-0000-0B00-0000D5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222</xdr:row>
      <xdr:rowOff>0</xdr:rowOff>
    </xdr:from>
    <xdr:ext cx="76200" cy="206375"/>
    <xdr:sp macro="" textlink="">
      <xdr:nvSpPr>
        <xdr:cNvPr id="214" name="Text Box 42">
          <a:extLst>
            <a:ext uri="{FF2B5EF4-FFF2-40B4-BE49-F238E27FC236}">
              <a16:creationId xmlns:a16="http://schemas.microsoft.com/office/drawing/2014/main" id="{00000000-0008-0000-0B00-0000D6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222</xdr:row>
      <xdr:rowOff>0</xdr:rowOff>
    </xdr:from>
    <xdr:ext cx="76200" cy="206375"/>
    <xdr:sp macro="" textlink="">
      <xdr:nvSpPr>
        <xdr:cNvPr id="215" name="Text Box 43">
          <a:extLst>
            <a:ext uri="{FF2B5EF4-FFF2-40B4-BE49-F238E27FC236}">
              <a16:creationId xmlns:a16="http://schemas.microsoft.com/office/drawing/2014/main" id="{00000000-0008-0000-0B00-0000D7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223</xdr:row>
      <xdr:rowOff>0</xdr:rowOff>
    </xdr:from>
    <xdr:ext cx="76200" cy="206375"/>
    <xdr:sp macro="" textlink="">
      <xdr:nvSpPr>
        <xdr:cNvPr id="216" name="Text Box 42">
          <a:extLst>
            <a:ext uri="{FF2B5EF4-FFF2-40B4-BE49-F238E27FC236}">
              <a16:creationId xmlns:a16="http://schemas.microsoft.com/office/drawing/2014/main" id="{00000000-0008-0000-0B00-0000D8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223</xdr:row>
      <xdr:rowOff>0</xdr:rowOff>
    </xdr:from>
    <xdr:ext cx="76200" cy="206375"/>
    <xdr:sp macro="" textlink="">
      <xdr:nvSpPr>
        <xdr:cNvPr id="217" name="Text Box 43">
          <a:extLst>
            <a:ext uri="{FF2B5EF4-FFF2-40B4-BE49-F238E27FC236}">
              <a16:creationId xmlns:a16="http://schemas.microsoft.com/office/drawing/2014/main" id="{00000000-0008-0000-0B00-0000D9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224</xdr:row>
      <xdr:rowOff>0</xdr:rowOff>
    </xdr:from>
    <xdr:ext cx="76200" cy="206375"/>
    <xdr:sp macro="" textlink="">
      <xdr:nvSpPr>
        <xdr:cNvPr id="218" name="Text Box 42">
          <a:extLst>
            <a:ext uri="{FF2B5EF4-FFF2-40B4-BE49-F238E27FC236}">
              <a16:creationId xmlns:a16="http://schemas.microsoft.com/office/drawing/2014/main" id="{00000000-0008-0000-0B00-0000DA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224</xdr:row>
      <xdr:rowOff>0</xdr:rowOff>
    </xdr:from>
    <xdr:ext cx="76200" cy="206375"/>
    <xdr:sp macro="" textlink="">
      <xdr:nvSpPr>
        <xdr:cNvPr id="219" name="Text Box 43">
          <a:extLst>
            <a:ext uri="{FF2B5EF4-FFF2-40B4-BE49-F238E27FC236}">
              <a16:creationId xmlns:a16="http://schemas.microsoft.com/office/drawing/2014/main" id="{00000000-0008-0000-0B00-0000DB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225</xdr:row>
      <xdr:rowOff>0</xdr:rowOff>
    </xdr:from>
    <xdr:ext cx="76200" cy="206375"/>
    <xdr:sp macro="" textlink="">
      <xdr:nvSpPr>
        <xdr:cNvPr id="220" name="Text Box 42">
          <a:extLst>
            <a:ext uri="{FF2B5EF4-FFF2-40B4-BE49-F238E27FC236}">
              <a16:creationId xmlns:a16="http://schemas.microsoft.com/office/drawing/2014/main" id="{00000000-0008-0000-0B00-0000DC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225</xdr:row>
      <xdr:rowOff>0</xdr:rowOff>
    </xdr:from>
    <xdr:ext cx="76200" cy="206375"/>
    <xdr:sp macro="" textlink="">
      <xdr:nvSpPr>
        <xdr:cNvPr id="221" name="Text Box 43">
          <a:extLst>
            <a:ext uri="{FF2B5EF4-FFF2-40B4-BE49-F238E27FC236}">
              <a16:creationId xmlns:a16="http://schemas.microsoft.com/office/drawing/2014/main" id="{00000000-0008-0000-0B00-0000DD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226</xdr:row>
      <xdr:rowOff>0</xdr:rowOff>
    </xdr:from>
    <xdr:ext cx="76200" cy="206375"/>
    <xdr:sp macro="" textlink="">
      <xdr:nvSpPr>
        <xdr:cNvPr id="222" name="Text Box 42">
          <a:extLst>
            <a:ext uri="{FF2B5EF4-FFF2-40B4-BE49-F238E27FC236}">
              <a16:creationId xmlns:a16="http://schemas.microsoft.com/office/drawing/2014/main" id="{00000000-0008-0000-0B00-0000DE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226</xdr:row>
      <xdr:rowOff>0</xdr:rowOff>
    </xdr:from>
    <xdr:ext cx="76200" cy="206375"/>
    <xdr:sp macro="" textlink="">
      <xdr:nvSpPr>
        <xdr:cNvPr id="223" name="Text Box 43">
          <a:extLst>
            <a:ext uri="{FF2B5EF4-FFF2-40B4-BE49-F238E27FC236}">
              <a16:creationId xmlns:a16="http://schemas.microsoft.com/office/drawing/2014/main" id="{00000000-0008-0000-0B00-0000DF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227</xdr:row>
      <xdr:rowOff>0</xdr:rowOff>
    </xdr:from>
    <xdr:ext cx="76200" cy="206375"/>
    <xdr:sp macro="" textlink="">
      <xdr:nvSpPr>
        <xdr:cNvPr id="224" name="Text Box 42">
          <a:extLst>
            <a:ext uri="{FF2B5EF4-FFF2-40B4-BE49-F238E27FC236}">
              <a16:creationId xmlns:a16="http://schemas.microsoft.com/office/drawing/2014/main" id="{00000000-0008-0000-0B00-0000E0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227</xdr:row>
      <xdr:rowOff>0</xdr:rowOff>
    </xdr:from>
    <xdr:ext cx="76200" cy="206375"/>
    <xdr:sp macro="" textlink="">
      <xdr:nvSpPr>
        <xdr:cNvPr id="225" name="Text Box 43">
          <a:extLst>
            <a:ext uri="{FF2B5EF4-FFF2-40B4-BE49-F238E27FC236}">
              <a16:creationId xmlns:a16="http://schemas.microsoft.com/office/drawing/2014/main" id="{00000000-0008-0000-0B00-0000E1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228</xdr:row>
      <xdr:rowOff>0</xdr:rowOff>
    </xdr:from>
    <xdr:ext cx="76200" cy="206375"/>
    <xdr:sp macro="" textlink="">
      <xdr:nvSpPr>
        <xdr:cNvPr id="226" name="Text Box 42">
          <a:extLst>
            <a:ext uri="{FF2B5EF4-FFF2-40B4-BE49-F238E27FC236}">
              <a16:creationId xmlns:a16="http://schemas.microsoft.com/office/drawing/2014/main" id="{00000000-0008-0000-0B00-0000E2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228</xdr:row>
      <xdr:rowOff>0</xdr:rowOff>
    </xdr:from>
    <xdr:ext cx="76200" cy="206375"/>
    <xdr:sp macro="" textlink="">
      <xdr:nvSpPr>
        <xdr:cNvPr id="227" name="Text Box 43">
          <a:extLst>
            <a:ext uri="{FF2B5EF4-FFF2-40B4-BE49-F238E27FC236}">
              <a16:creationId xmlns:a16="http://schemas.microsoft.com/office/drawing/2014/main" id="{00000000-0008-0000-0B00-0000E3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229</xdr:row>
      <xdr:rowOff>0</xdr:rowOff>
    </xdr:from>
    <xdr:ext cx="76200" cy="206375"/>
    <xdr:sp macro="" textlink="">
      <xdr:nvSpPr>
        <xdr:cNvPr id="228" name="Text Box 42">
          <a:extLst>
            <a:ext uri="{FF2B5EF4-FFF2-40B4-BE49-F238E27FC236}">
              <a16:creationId xmlns:a16="http://schemas.microsoft.com/office/drawing/2014/main" id="{00000000-0008-0000-0B00-0000E4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229</xdr:row>
      <xdr:rowOff>0</xdr:rowOff>
    </xdr:from>
    <xdr:ext cx="76200" cy="206375"/>
    <xdr:sp macro="" textlink="">
      <xdr:nvSpPr>
        <xdr:cNvPr id="229" name="Text Box 43">
          <a:extLst>
            <a:ext uri="{FF2B5EF4-FFF2-40B4-BE49-F238E27FC236}">
              <a16:creationId xmlns:a16="http://schemas.microsoft.com/office/drawing/2014/main" id="{00000000-0008-0000-0B00-0000E5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230</xdr:row>
      <xdr:rowOff>0</xdr:rowOff>
    </xdr:from>
    <xdr:ext cx="76200" cy="206375"/>
    <xdr:sp macro="" textlink="">
      <xdr:nvSpPr>
        <xdr:cNvPr id="230" name="Text Box 42">
          <a:extLst>
            <a:ext uri="{FF2B5EF4-FFF2-40B4-BE49-F238E27FC236}">
              <a16:creationId xmlns:a16="http://schemas.microsoft.com/office/drawing/2014/main" id="{00000000-0008-0000-0B00-0000E6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230</xdr:row>
      <xdr:rowOff>0</xdr:rowOff>
    </xdr:from>
    <xdr:ext cx="76200" cy="206375"/>
    <xdr:sp macro="" textlink="">
      <xdr:nvSpPr>
        <xdr:cNvPr id="231" name="Text Box 43">
          <a:extLst>
            <a:ext uri="{FF2B5EF4-FFF2-40B4-BE49-F238E27FC236}">
              <a16:creationId xmlns:a16="http://schemas.microsoft.com/office/drawing/2014/main" id="{00000000-0008-0000-0B00-0000E7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231</xdr:row>
      <xdr:rowOff>0</xdr:rowOff>
    </xdr:from>
    <xdr:ext cx="76200" cy="206375"/>
    <xdr:sp macro="" textlink="">
      <xdr:nvSpPr>
        <xdr:cNvPr id="232" name="Text Box 42">
          <a:extLst>
            <a:ext uri="{FF2B5EF4-FFF2-40B4-BE49-F238E27FC236}">
              <a16:creationId xmlns:a16="http://schemas.microsoft.com/office/drawing/2014/main" id="{00000000-0008-0000-0B00-0000E8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231</xdr:row>
      <xdr:rowOff>0</xdr:rowOff>
    </xdr:from>
    <xdr:ext cx="76200" cy="206375"/>
    <xdr:sp macro="" textlink="">
      <xdr:nvSpPr>
        <xdr:cNvPr id="233" name="Text Box 43">
          <a:extLst>
            <a:ext uri="{FF2B5EF4-FFF2-40B4-BE49-F238E27FC236}">
              <a16:creationId xmlns:a16="http://schemas.microsoft.com/office/drawing/2014/main" id="{00000000-0008-0000-0B00-0000E9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232</xdr:row>
      <xdr:rowOff>0</xdr:rowOff>
    </xdr:from>
    <xdr:ext cx="76200" cy="206375"/>
    <xdr:sp macro="" textlink="">
      <xdr:nvSpPr>
        <xdr:cNvPr id="234" name="Text Box 42">
          <a:extLst>
            <a:ext uri="{FF2B5EF4-FFF2-40B4-BE49-F238E27FC236}">
              <a16:creationId xmlns:a16="http://schemas.microsoft.com/office/drawing/2014/main" id="{00000000-0008-0000-0B00-0000EA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232</xdr:row>
      <xdr:rowOff>0</xdr:rowOff>
    </xdr:from>
    <xdr:ext cx="76200" cy="206375"/>
    <xdr:sp macro="" textlink="">
      <xdr:nvSpPr>
        <xdr:cNvPr id="235" name="Text Box 43">
          <a:extLst>
            <a:ext uri="{FF2B5EF4-FFF2-40B4-BE49-F238E27FC236}">
              <a16:creationId xmlns:a16="http://schemas.microsoft.com/office/drawing/2014/main" id="{00000000-0008-0000-0B00-0000EB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233</xdr:row>
      <xdr:rowOff>0</xdr:rowOff>
    </xdr:from>
    <xdr:ext cx="76200" cy="206375"/>
    <xdr:sp macro="" textlink="">
      <xdr:nvSpPr>
        <xdr:cNvPr id="236" name="Text Box 42">
          <a:extLst>
            <a:ext uri="{FF2B5EF4-FFF2-40B4-BE49-F238E27FC236}">
              <a16:creationId xmlns:a16="http://schemas.microsoft.com/office/drawing/2014/main" id="{00000000-0008-0000-0B00-0000EC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233</xdr:row>
      <xdr:rowOff>0</xdr:rowOff>
    </xdr:from>
    <xdr:ext cx="76200" cy="206375"/>
    <xdr:sp macro="" textlink="">
      <xdr:nvSpPr>
        <xdr:cNvPr id="237" name="Text Box 43">
          <a:extLst>
            <a:ext uri="{FF2B5EF4-FFF2-40B4-BE49-F238E27FC236}">
              <a16:creationId xmlns:a16="http://schemas.microsoft.com/office/drawing/2014/main" id="{00000000-0008-0000-0B00-0000ED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234</xdr:row>
      <xdr:rowOff>0</xdr:rowOff>
    </xdr:from>
    <xdr:ext cx="76200" cy="206375"/>
    <xdr:sp macro="" textlink="">
      <xdr:nvSpPr>
        <xdr:cNvPr id="238" name="Text Box 42">
          <a:extLst>
            <a:ext uri="{FF2B5EF4-FFF2-40B4-BE49-F238E27FC236}">
              <a16:creationId xmlns:a16="http://schemas.microsoft.com/office/drawing/2014/main" id="{00000000-0008-0000-0B00-0000EE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234</xdr:row>
      <xdr:rowOff>0</xdr:rowOff>
    </xdr:from>
    <xdr:ext cx="76200" cy="206375"/>
    <xdr:sp macro="" textlink="">
      <xdr:nvSpPr>
        <xdr:cNvPr id="239" name="Text Box 43">
          <a:extLst>
            <a:ext uri="{FF2B5EF4-FFF2-40B4-BE49-F238E27FC236}">
              <a16:creationId xmlns:a16="http://schemas.microsoft.com/office/drawing/2014/main" id="{00000000-0008-0000-0B00-0000EF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235</xdr:row>
      <xdr:rowOff>0</xdr:rowOff>
    </xdr:from>
    <xdr:ext cx="76200" cy="206375"/>
    <xdr:sp macro="" textlink="">
      <xdr:nvSpPr>
        <xdr:cNvPr id="240" name="Text Box 42">
          <a:extLst>
            <a:ext uri="{FF2B5EF4-FFF2-40B4-BE49-F238E27FC236}">
              <a16:creationId xmlns:a16="http://schemas.microsoft.com/office/drawing/2014/main" id="{00000000-0008-0000-0B00-0000F0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235</xdr:row>
      <xdr:rowOff>0</xdr:rowOff>
    </xdr:from>
    <xdr:ext cx="76200" cy="206375"/>
    <xdr:sp macro="" textlink="">
      <xdr:nvSpPr>
        <xdr:cNvPr id="241" name="Text Box 43">
          <a:extLst>
            <a:ext uri="{FF2B5EF4-FFF2-40B4-BE49-F238E27FC236}">
              <a16:creationId xmlns:a16="http://schemas.microsoft.com/office/drawing/2014/main" id="{00000000-0008-0000-0B00-0000F1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236</xdr:row>
      <xdr:rowOff>0</xdr:rowOff>
    </xdr:from>
    <xdr:ext cx="76200" cy="206375"/>
    <xdr:sp macro="" textlink="">
      <xdr:nvSpPr>
        <xdr:cNvPr id="242" name="Text Box 42">
          <a:extLst>
            <a:ext uri="{FF2B5EF4-FFF2-40B4-BE49-F238E27FC236}">
              <a16:creationId xmlns:a16="http://schemas.microsoft.com/office/drawing/2014/main" id="{00000000-0008-0000-0B00-0000F2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236</xdr:row>
      <xdr:rowOff>0</xdr:rowOff>
    </xdr:from>
    <xdr:ext cx="76200" cy="206375"/>
    <xdr:sp macro="" textlink="">
      <xdr:nvSpPr>
        <xdr:cNvPr id="243" name="Text Box 43">
          <a:extLst>
            <a:ext uri="{FF2B5EF4-FFF2-40B4-BE49-F238E27FC236}">
              <a16:creationId xmlns:a16="http://schemas.microsoft.com/office/drawing/2014/main" id="{00000000-0008-0000-0B00-0000F3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237</xdr:row>
      <xdr:rowOff>0</xdr:rowOff>
    </xdr:from>
    <xdr:ext cx="76200" cy="206375"/>
    <xdr:sp macro="" textlink="">
      <xdr:nvSpPr>
        <xdr:cNvPr id="244" name="Text Box 42">
          <a:extLst>
            <a:ext uri="{FF2B5EF4-FFF2-40B4-BE49-F238E27FC236}">
              <a16:creationId xmlns:a16="http://schemas.microsoft.com/office/drawing/2014/main" id="{00000000-0008-0000-0B00-0000F4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237</xdr:row>
      <xdr:rowOff>0</xdr:rowOff>
    </xdr:from>
    <xdr:ext cx="76200" cy="206375"/>
    <xdr:sp macro="" textlink="">
      <xdr:nvSpPr>
        <xdr:cNvPr id="245" name="Text Box 43">
          <a:extLst>
            <a:ext uri="{FF2B5EF4-FFF2-40B4-BE49-F238E27FC236}">
              <a16:creationId xmlns:a16="http://schemas.microsoft.com/office/drawing/2014/main" id="{00000000-0008-0000-0B00-0000F5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238</xdr:row>
      <xdr:rowOff>0</xdr:rowOff>
    </xdr:from>
    <xdr:ext cx="76200" cy="206375"/>
    <xdr:sp macro="" textlink="">
      <xdr:nvSpPr>
        <xdr:cNvPr id="246" name="Text Box 42">
          <a:extLst>
            <a:ext uri="{FF2B5EF4-FFF2-40B4-BE49-F238E27FC236}">
              <a16:creationId xmlns:a16="http://schemas.microsoft.com/office/drawing/2014/main" id="{00000000-0008-0000-0B00-0000F6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238</xdr:row>
      <xdr:rowOff>0</xdr:rowOff>
    </xdr:from>
    <xdr:ext cx="76200" cy="206375"/>
    <xdr:sp macro="" textlink="">
      <xdr:nvSpPr>
        <xdr:cNvPr id="247" name="Text Box 43">
          <a:extLst>
            <a:ext uri="{FF2B5EF4-FFF2-40B4-BE49-F238E27FC236}">
              <a16:creationId xmlns:a16="http://schemas.microsoft.com/office/drawing/2014/main" id="{00000000-0008-0000-0B00-0000F7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239</xdr:row>
      <xdr:rowOff>0</xdr:rowOff>
    </xdr:from>
    <xdr:ext cx="76200" cy="206375"/>
    <xdr:sp macro="" textlink="">
      <xdr:nvSpPr>
        <xdr:cNvPr id="248" name="Text Box 42">
          <a:extLst>
            <a:ext uri="{FF2B5EF4-FFF2-40B4-BE49-F238E27FC236}">
              <a16:creationId xmlns:a16="http://schemas.microsoft.com/office/drawing/2014/main" id="{00000000-0008-0000-0B00-0000F8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239</xdr:row>
      <xdr:rowOff>0</xdr:rowOff>
    </xdr:from>
    <xdr:ext cx="76200" cy="206375"/>
    <xdr:sp macro="" textlink="">
      <xdr:nvSpPr>
        <xdr:cNvPr id="249" name="Text Box 43">
          <a:extLst>
            <a:ext uri="{FF2B5EF4-FFF2-40B4-BE49-F238E27FC236}">
              <a16:creationId xmlns:a16="http://schemas.microsoft.com/office/drawing/2014/main" id="{00000000-0008-0000-0B00-0000F9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240</xdr:row>
      <xdr:rowOff>0</xdr:rowOff>
    </xdr:from>
    <xdr:ext cx="76200" cy="206375"/>
    <xdr:sp macro="" textlink="">
      <xdr:nvSpPr>
        <xdr:cNvPr id="250" name="Text Box 42">
          <a:extLst>
            <a:ext uri="{FF2B5EF4-FFF2-40B4-BE49-F238E27FC236}">
              <a16:creationId xmlns:a16="http://schemas.microsoft.com/office/drawing/2014/main" id="{00000000-0008-0000-0B00-0000FA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240</xdr:row>
      <xdr:rowOff>0</xdr:rowOff>
    </xdr:from>
    <xdr:ext cx="76200" cy="206375"/>
    <xdr:sp macro="" textlink="">
      <xdr:nvSpPr>
        <xdr:cNvPr id="251" name="Text Box 43">
          <a:extLst>
            <a:ext uri="{FF2B5EF4-FFF2-40B4-BE49-F238E27FC236}">
              <a16:creationId xmlns:a16="http://schemas.microsoft.com/office/drawing/2014/main" id="{00000000-0008-0000-0B00-0000FB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241</xdr:row>
      <xdr:rowOff>0</xdr:rowOff>
    </xdr:from>
    <xdr:ext cx="76200" cy="206375"/>
    <xdr:sp macro="" textlink="">
      <xdr:nvSpPr>
        <xdr:cNvPr id="252" name="Text Box 42">
          <a:extLst>
            <a:ext uri="{FF2B5EF4-FFF2-40B4-BE49-F238E27FC236}">
              <a16:creationId xmlns:a16="http://schemas.microsoft.com/office/drawing/2014/main" id="{00000000-0008-0000-0B00-0000FC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241</xdr:row>
      <xdr:rowOff>0</xdr:rowOff>
    </xdr:from>
    <xdr:ext cx="76200" cy="206375"/>
    <xdr:sp macro="" textlink="">
      <xdr:nvSpPr>
        <xdr:cNvPr id="253" name="Text Box 43">
          <a:extLst>
            <a:ext uri="{FF2B5EF4-FFF2-40B4-BE49-F238E27FC236}">
              <a16:creationId xmlns:a16="http://schemas.microsoft.com/office/drawing/2014/main" id="{00000000-0008-0000-0B00-0000FD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242</xdr:row>
      <xdr:rowOff>0</xdr:rowOff>
    </xdr:from>
    <xdr:ext cx="76200" cy="206375"/>
    <xdr:sp macro="" textlink="">
      <xdr:nvSpPr>
        <xdr:cNvPr id="254" name="Text Box 42">
          <a:extLst>
            <a:ext uri="{FF2B5EF4-FFF2-40B4-BE49-F238E27FC236}">
              <a16:creationId xmlns:a16="http://schemas.microsoft.com/office/drawing/2014/main" id="{00000000-0008-0000-0B00-0000FE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242</xdr:row>
      <xdr:rowOff>0</xdr:rowOff>
    </xdr:from>
    <xdr:ext cx="76200" cy="206375"/>
    <xdr:sp macro="" textlink="">
      <xdr:nvSpPr>
        <xdr:cNvPr id="255" name="Text Box 43">
          <a:extLst>
            <a:ext uri="{FF2B5EF4-FFF2-40B4-BE49-F238E27FC236}">
              <a16:creationId xmlns:a16="http://schemas.microsoft.com/office/drawing/2014/main" id="{00000000-0008-0000-0B00-0000FF00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243</xdr:row>
      <xdr:rowOff>0</xdr:rowOff>
    </xdr:from>
    <xdr:ext cx="76200" cy="206375"/>
    <xdr:sp macro="" textlink="">
      <xdr:nvSpPr>
        <xdr:cNvPr id="256" name="Text Box 42">
          <a:extLst>
            <a:ext uri="{FF2B5EF4-FFF2-40B4-BE49-F238E27FC236}">
              <a16:creationId xmlns:a16="http://schemas.microsoft.com/office/drawing/2014/main" id="{00000000-0008-0000-0B00-000000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243</xdr:row>
      <xdr:rowOff>0</xdr:rowOff>
    </xdr:from>
    <xdr:ext cx="76200" cy="206375"/>
    <xdr:sp macro="" textlink="">
      <xdr:nvSpPr>
        <xdr:cNvPr id="257" name="Text Box 43">
          <a:extLst>
            <a:ext uri="{FF2B5EF4-FFF2-40B4-BE49-F238E27FC236}">
              <a16:creationId xmlns:a16="http://schemas.microsoft.com/office/drawing/2014/main" id="{00000000-0008-0000-0B00-000001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244</xdr:row>
      <xdr:rowOff>0</xdr:rowOff>
    </xdr:from>
    <xdr:ext cx="76200" cy="206375"/>
    <xdr:sp macro="" textlink="">
      <xdr:nvSpPr>
        <xdr:cNvPr id="258" name="Text Box 42">
          <a:extLst>
            <a:ext uri="{FF2B5EF4-FFF2-40B4-BE49-F238E27FC236}">
              <a16:creationId xmlns:a16="http://schemas.microsoft.com/office/drawing/2014/main" id="{00000000-0008-0000-0B00-000002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244</xdr:row>
      <xdr:rowOff>0</xdr:rowOff>
    </xdr:from>
    <xdr:ext cx="76200" cy="206375"/>
    <xdr:sp macro="" textlink="">
      <xdr:nvSpPr>
        <xdr:cNvPr id="259" name="Text Box 43">
          <a:extLst>
            <a:ext uri="{FF2B5EF4-FFF2-40B4-BE49-F238E27FC236}">
              <a16:creationId xmlns:a16="http://schemas.microsoft.com/office/drawing/2014/main" id="{00000000-0008-0000-0B00-000003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245</xdr:row>
      <xdr:rowOff>0</xdr:rowOff>
    </xdr:from>
    <xdr:ext cx="76200" cy="206375"/>
    <xdr:sp macro="" textlink="">
      <xdr:nvSpPr>
        <xdr:cNvPr id="260" name="Text Box 42">
          <a:extLst>
            <a:ext uri="{FF2B5EF4-FFF2-40B4-BE49-F238E27FC236}">
              <a16:creationId xmlns:a16="http://schemas.microsoft.com/office/drawing/2014/main" id="{00000000-0008-0000-0B00-000004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245</xdr:row>
      <xdr:rowOff>0</xdr:rowOff>
    </xdr:from>
    <xdr:ext cx="76200" cy="206375"/>
    <xdr:sp macro="" textlink="">
      <xdr:nvSpPr>
        <xdr:cNvPr id="261" name="Text Box 43">
          <a:extLst>
            <a:ext uri="{FF2B5EF4-FFF2-40B4-BE49-F238E27FC236}">
              <a16:creationId xmlns:a16="http://schemas.microsoft.com/office/drawing/2014/main" id="{00000000-0008-0000-0B00-000005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246</xdr:row>
      <xdr:rowOff>0</xdr:rowOff>
    </xdr:from>
    <xdr:ext cx="76200" cy="206375"/>
    <xdr:sp macro="" textlink="">
      <xdr:nvSpPr>
        <xdr:cNvPr id="262" name="Text Box 42">
          <a:extLst>
            <a:ext uri="{FF2B5EF4-FFF2-40B4-BE49-F238E27FC236}">
              <a16:creationId xmlns:a16="http://schemas.microsoft.com/office/drawing/2014/main" id="{00000000-0008-0000-0B00-000006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246</xdr:row>
      <xdr:rowOff>0</xdr:rowOff>
    </xdr:from>
    <xdr:ext cx="76200" cy="206375"/>
    <xdr:sp macro="" textlink="">
      <xdr:nvSpPr>
        <xdr:cNvPr id="263" name="Text Box 43">
          <a:extLst>
            <a:ext uri="{FF2B5EF4-FFF2-40B4-BE49-F238E27FC236}">
              <a16:creationId xmlns:a16="http://schemas.microsoft.com/office/drawing/2014/main" id="{00000000-0008-0000-0B00-000007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247</xdr:row>
      <xdr:rowOff>0</xdr:rowOff>
    </xdr:from>
    <xdr:ext cx="76200" cy="206375"/>
    <xdr:sp macro="" textlink="">
      <xdr:nvSpPr>
        <xdr:cNvPr id="264" name="Text Box 42">
          <a:extLst>
            <a:ext uri="{FF2B5EF4-FFF2-40B4-BE49-F238E27FC236}">
              <a16:creationId xmlns:a16="http://schemas.microsoft.com/office/drawing/2014/main" id="{00000000-0008-0000-0B00-000008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247</xdr:row>
      <xdr:rowOff>0</xdr:rowOff>
    </xdr:from>
    <xdr:ext cx="76200" cy="206375"/>
    <xdr:sp macro="" textlink="">
      <xdr:nvSpPr>
        <xdr:cNvPr id="265" name="Text Box 43">
          <a:extLst>
            <a:ext uri="{FF2B5EF4-FFF2-40B4-BE49-F238E27FC236}">
              <a16:creationId xmlns:a16="http://schemas.microsoft.com/office/drawing/2014/main" id="{00000000-0008-0000-0B00-000009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248</xdr:row>
      <xdr:rowOff>0</xdr:rowOff>
    </xdr:from>
    <xdr:ext cx="76200" cy="206375"/>
    <xdr:sp macro="" textlink="">
      <xdr:nvSpPr>
        <xdr:cNvPr id="266" name="Text Box 42">
          <a:extLst>
            <a:ext uri="{FF2B5EF4-FFF2-40B4-BE49-F238E27FC236}">
              <a16:creationId xmlns:a16="http://schemas.microsoft.com/office/drawing/2014/main" id="{00000000-0008-0000-0B00-00000A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248</xdr:row>
      <xdr:rowOff>0</xdr:rowOff>
    </xdr:from>
    <xdr:ext cx="76200" cy="206375"/>
    <xdr:sp macro="" textlink="">
      <xdr:nvSpPr>
        <xdr:cNvPr id="267" name="Text Box 43">
          <a:extLst>
            <a:ext uri="{FF2B5EF4-FFF2-40B4-BE49-F238E27FC236}">
              <a16:creationId xmlns:a16="http://schemas.microsoft.com/office/drawing/2014/main" id="{00000000-0008-0000-0B00-00000B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249</xdr:row>
      <xdr:rowOff>0</xdr:rowOff>
    </xdr:from>
    <xdr:ext cx="76200" cy="206375"/>
    <xdr:sp macro="" textlink="">
      <xdr:nvSpPr>
        <xdr:cNvPr id="268" name="Text Box 42">
          <a:extLst>
            <a:ext uri="{FF2B5EF4-FFF2-40B4-BE49-F238E27FC236}">
              <a16:creationId xmlns:a16="http://schemas.microsoft.com/office/drawing/2014/main" id="{00000000-0008-0000-0B00-00000C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249</xdr:row>
      <xdr:rowOff>0</xdr:rowOff>
    </xdr:from>
    <xdr:ext cx="76200" cy="206375"/>
    <xdr:sp macro="" textlink="">
      <xdr:nvSpPr>
        <xdr:cNvPr id="269" name="Text Box 43">
          <a:extLst>
            <a:ext uri="{FF2B5EF4-FFF2-40B4-BE49-F238E27FC236}">
              <a16:creationId xmlns:a16="http://schemas.microsoft.com/office/drawing/2014/main" id="{00000000-0008-0000-0B00-00000D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250</xdr:row>
      <xdr:rowOff>0</xdr:rowOff>
    </xdr:from>
    <xdr:ext cx="76200" cy="206375"/>
    <xdr:sp macro="" textlink="">
      <xdr:nvSpPr>
        <xdr:cNvPr id="270" name="Text Box 42">
          <a:extLst>
            <a:ext uri="{FF2B5EF4-FFF2-40B4-BE49-F238E27FC236}">
              <a16:creationId xmlns:a16="http://schemas.microsoft.com/office/drawing/2014/main" id="{00000000-0008-0000-0B00-00000E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250</xdr:row>
      <xdr:rowOff>0</xdr:rowOff>
    </xdr:from>
    <xdr:ext cx="76200" cy="206375"/>
    <xdr:sp macro="" textlink="">
      <xdr:nvSpPr>
        <xdr:cNvPr id="271" name="Text Box 43">
          <a:extLst>
            <a:ext uri="{FF2B5EF4-FFF2-40B4-BE49-F238E27FC236}">
              <a16:creationId xmlns:a16="http://schemas.microsoft.com/office/drawing/2014/main" id="{00000000-0008-0000-0B00-00000F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251</xdr:row>
      <xdr:rowOff>0</xdr:rowOff>
    </xdr:from>
    <xdr:ext cx="76200" cy="206375"/>
    <xdr:sp macro="" textlink="">
      <xdr:nvSpPr>
        <xdr:cNvPr id="272" name="Text Box 42">
          <a:extLst>
            <a:ext uri="{FF2B5EF4-FFF2-40B4-BE49-F238E27FC236}">
              <a16:creationId xmlns:a16="http://schemas.microsoft.com/office/drawing/2014/main" id="{00000000-0008-0000-0B00-000010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251</xdr:row>
      <xdr:rowOff>0</xdr:rowOff>
    </xdr:from>
    <xdr:ext cx="76200" cy="206375"/>
    <xdr:sp macro="" textlink="">
      <xdr:nvSpPr>
        <xdr:cNvPr id="273" name="Text Box 43">
          <a:extLst>
            <a:ext uri="{FF2B5EF4-FFF2-40B4-BE49-F238E27FC236}">
              <a16:creationId xmlns:a16="http://schemas.microsoft.com/office/drawing/2014/main" id="{00000000-0008-0000-0B00-000011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252</xdr:row>
      <xdr:rowOff>0</xdr:rowOff>
    </xdr:from>
    <xdr:ext cx="76200" cy="206375"/>
    <xdr:sp macro="" textlink="">
      <xdr:nvSpPr>
        <xdr:cNvPr id="274" name="Text Box 42">
          <a:extLst>
            <a:ext uri="{FF2B5EF4-FFF2-40B4-BE49-F238E27FC236}">
              <a16:creationId xmlns:a16="http://schemas.microsoft.com/office/drawing/2014/main" id="{00000000-0008-0000-0B00-000012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252</xdr:row>
      <xdr:rowOff>0</xdr:rowOff>
    </xdr:from>
    <xdr:ext cx="76200" cy="206375"/>
    <xdr:sp macro="" textlink="">
      <xdr:nvSpPr>
        <xdr:cNvPr id="275" name="Text Box 43">
          <a:extLst>
            <a:ext uri="{FF2B5EF4-FFF2-40B4-BE49-F238E27FC236}">
              <a16:creationId xmlns:a16="http://schemas.microsoft.com/office/drawing/2014/main" id="{00000000-0008-0000-0B00-000013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253</xdr:row>
      <xdr:rowOff>0</xdr:rowOff>
    </xdr:from>
    <xdr:ext cx="76200" cy="206375"/>
    <xdr:sp macro="" textlink="">
      <xdr:nvSpPr>
        <xdr:cNvPr id="276" name="Text Box 42">
          <a:extLst>
            <a:ext uri="{FF2B5EF4-FFF2-40B4-BE49-F238E27FC236}">
              <a16:creationId xmlns:a16="http://schemas.microsoft.com/office/drawing/2014/main" id="{00000000-0008-0000-0B00-000014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253</xdr:row>
      <xdr:rowOff>0</xdr:rowOff>
    </xdr:from>
    <xdr:ext cx="76200" cy="206375"/>
    <xdr:sp macro="" textlink="">
      <xdr:nvSpPr>
        <xdr:cNvPr id="277" name="Text Box 43">
          <a:extLst>
            <a:ext uri="{FF2B5EF4-FFF2-40B4-BE49-F238E27FC236}">
              <a16:creationId xmlns:a16="http://schemas.microsoft.com/office/drawing/2014/main" id="{00000000-0008-0000-0B00-000015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254</xdr:row>
      <xdr:rowOff>0</xdr:rowOff>
    </xdr:from>
    <xdr:ext cx="76200" cy="206375"/>
    <xdr:sp macro="" textlink="">
      <xdr:nvSpPr>
        <xdr:cNvPr id="278" name="Text Box 42">
          <a:extLst>
            <a:ext uri="{FF2B5EF4-FFF2-40B4-BE49-F238E27FC236}">
              <a16:creationId xmlns:a16="http://schemas.microsoft.com/office/drawing/2014/main" id="{00000000-0008-0000-0B00-000016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254</xdr:row>
      <xdr:rowOff>0</xdr:rowOff>
    </xdr:from>
    <xdr:ext cx="76200" cy="206375"/>
    <xdr:sp macro="" textlink="">
      <xdr:nvSpPr>
        <xdr:cNvPr id="279" name="Text Box 43">
          <a:extLst>
            <a:ext uri="{FF2B5EF4-FFF2-40B4-BE49-F238E27FC236}">
              <a16:creationId xmlns:a16="http://schemas.microsoft.com/office/drawing/2014/main" id="{00000000-0008-0000-0B00-000017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255</xdr:row>
      <xdr:rowOff>0</xdr:rowOff>
    </xdr:from>
    <xdr:ext cx="76200" cy="206375"/>
    <xdr:sp macro="" textlink="">
      <xdr:nvSpPr>
        <xdr:cNvPr id="280" name="Text Box 42">
          <a:extLst>
            <a:ext uri="{FF2B5EF4-FFF2-40B4-BE49-F238E27FC236}">
              <a16:creationId xmlns:a16="http://schemas.microsoft.com/office/drawing/2014/main" id="{00000000-0008-0000-0B00-000018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255</xdr:row>
      <xdr:rowOff>0</xdr:rowOff>
    </xdr:from>
    <xdr:ext cx="76200" cy="206375"/>
    <xdr:sp macro="" textlink="">
      <xdr:nvSpPr>
        <xdr:cNvPr id="281" name="Text Box 43">
          <a:extLst>
            <a:ext uri="{FF2B5EF4-FFF2-40B4-BE49-F238E27FC236}">
              <a16:creationId xmlns:a16="http://schemas.microsoft.com/office/drawing/2014/main" id="{00000000-0008-0000-0B00-000019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256</xdr:row>
      <xdr:rowOff>0</xdr:rowOff>
    </xdr:from>
    <xdr:ext cx="76200" cy="206375"/>
    <xdr:sp macro="" textlink="">
      <xdr:nvSpPr>
        <xdr:cNvPr id="282" name="Text Box 42">
          <a:extLst>
            <a:ext uri="{FF2B5EF4-FFF2-40B4-BE49-F238E27FC236}">
              <a16:creationId xmlns:a16="http://schemas.microsoft.com/office/drawing/2014/main" id="{00000000-0008-0000-0B00-00001A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256</xdr:row>
      <xdr:rowOff>0</xdr:rowOff>
    </xdr:from>
    <xdr:ext cx="76200" cy="206375"/>
    <xdr:sp macro="" textlink="">
      <xdr:nvSpPr>
        <xdr:cNvPr id="283" name="Text Box 43">
          <a:extLst>
            <a:ext uri="{FF2B5EF4-FFF2-40B4-BE49-F238E27FC236}">
              <a16:creationId xmlns:a16="http://schemas.microsoft.com/office/drawing/2014/main" id="{00000000-0008-0000-0B00-00001B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257</xdr:row>
      <xdr:rowOff>0</xdr:rowOff>
    </xdr:from>
    <xdr:ext cx="76200" cy="206375"/>
    <xdr:sp macro="" textlink="">
      <xdr:nvSpPr>
        <xdr:cNvPr id="284" name="Text Box 42">
          <a:extLst>
            <a:ext uri="{FF2B5EF4-FFF2-40B4-BE49-F238E27FC236}">
              <a16:creationId xmlns:a16="http://schemas.microsoft.com/office/drawing/2014/main" id="{00000000-0008-0000-0B00-00001C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257</xdr:row>
      <xdr:rowOff>0</xdr:rowOff>
    </xdr:from>
    <xdr:ext cx="76200" cy="206375"/>
    <xdr:sp macro="" textlink="">
      <xdr:nvSpPr>
        <xdr:cNvPr id="285" name="Text Box 43">
          <a:extLst>
            <a:ext uri="{FF2B5EF4-FFF2-40B4-BE49-F238E27FC236}">
              <a16:creationId xmlns:a16="http://schemas.microsoft.com/office/drawing/2014/main" id="{00000000-0008-0000-0B00-00001D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258</xdr:row>
      <xdr:rowOff>0</xdr:rowOff>
    </xdr:from>
    <xdr:ext cx="76200" cy="206375"/>
    <xdr:sp macro="" textlink="">
      <xdr:nvSpPr>
        <xdr:cNvPr id="286" name="Text Box 42">
          <a:extLst>
            <a:ext uri="{FF2B5EF4-FFF2-40B4-BE49-F238E27FC236}">
              <a16:creationId xmlns:a16="http://schemas.microsoft.com/office/drawing/2014/main" id="{00000000-0008-0000-0B00-00001E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258</xdr:row>
      <xdr:rowOff>0</xdr:rowOff>
    </xdr:from>
    <xdr:ext cx="76200" cy="206375"/>
    <xdr:sp macro="" textlink="">
      <xdr:nvSpPr>
        <xdr:cNvPr id="287" name="Text Box 43">
          <a:extLst>
            <a:ext uri="{FF2B5EF4-FFF2-40B4-BE49-F238E27FC236}">
              <a16:creationId xmlns:a16="http://schemas.microsoft.com/office/drawing/2014/main" id="{00000000-0008-0000-0B00-00001F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259</xdr:row>
      <xdr:rowOff>0</xdr:rowOff>
    </xdr:from>
    <xdr:ext cx="76200" cy="206375"/>
    <xdr:sp macro="" textlink="">
      <xdr:nvSpPr>
        <xdr:cNvPr id="288" name="Text Box 42">
          <a:extLst>
            <a:ext uri="{FF2B5EF4-FFF2-40B4-BE49-F238E27FC236}">
              <a16:creationId xmlns:a16="http://schemas.microsoft.com/office/drawing/2014/main" id="{00000000-0008-0000-0B00-000020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259</xdr:row>
      <xdr:rowOff>0</xdr:rowOff>
    </xdr:from>
    <xdr:ext cx="76200" cy="206375"/>
    <xdr:sp macro="" textlink="">
      <xdr:nvSpPr>
        <xdr:cNvPr id="289" name="Text Box 43">
          <a:extLst>
            <a:ext uri="{FF2B5EF4-FFF2-40B4-BE49-F238E27FC236}">
              <a16:creationId xmlns:a16="http://schemas.microsoft.com/office/drawing/2014/main" id="{00000000-0008-0000-0B00-000021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260</xdr:row>
      <xdr:rowOff>0</xdr:rowOff>
    </xdr:from>
    <xdr:ext cx="76200" cy="206375"/>
    <xdr:sp macro="" textlink="">
      <xdr:nvSpPr>
        <xdr:cNvPr id="290" name="Text Box 42">
          <a:extLst>
            <a:ext uri="{FF2B5EF4-FFF2-40B4-BE49-F238E27FC236}">
              <a16:creationId xmlns:a16="http://schemas.microsoft.com/office/drawing/2014/main" id="{00000000-0008-0000-0B00-000022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260</xdr:row>
      <xdr:rowOff>0</xdr:rowOff>
    </xdr:from>
    <xdr:ext cx="76200" cy="206375"/>
    <xdr:sp macro="" textlink="">
      <xdr:nvSpPr>
        <xdr:cNvPr id="291" name="Text Box 43">
          <a:extLst>
            <a:ext uri="{FF2B5EF4-FFF2-40B4-BE49-F238E27FC236}">
              <a16:creationId xmlns:a16="http://schemas.microsoft.com/office/drawing/2014/main" id="{00000000-0008-0000-0B00-000023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261</xdr:row>
      <xdr:rowOff>0</xdr:rowOff>
    </xdr:from>
    <xdr:ext cx="76200" cy="206375"/>
    <xdr:sp macro="" textlink="">
      <xdr:nvSpPr>
        <xdr:cNvPr id="292" name="Text Box 42">
          <a:extLst>
            <a:ext uri="{FF2B5EF4-FFF2-40B4-BE49-F238E27FC236}">
              <a16:creationId xmlns:a16="http://schemas.microsoft.com/office/drawing/2014/main" id="{00000000-0008-0000-0B00-000024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261</xdr:row>
      <xdr:rowOff>0</xdr:rowOff>
    </xdr:from>
    <xdr:ext cx="76200" cy="206375"/>
    <xdr:sp macro="" textlink="">
      <xdr:nvSpPr>
        <xdr:cNvPr id="293" name="Text Box 43">
          <a:extLst>
            <a:ext uri="{FF2B5EF4-FFF2-40B4-BE49-F238E27FC236}">
              <a16:creationId xmlns:a16="http://schemas.microsoft.com/office/drawing/2014/main" id="{00000000-0008-0000-0B00-000025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262</xdr:row>
      <xdr:rowOff>0</xdr:rowOff>
    </xdr:from>
    <xdr:ext cx="76200" cy="206375"/>
    <xdr:sp macro="" textlink="">
      <xdr:nvSpPr>
        <xdr:cNvPr id="294" name="Text Box 42">
          <a:extLst>
            <a:ext uri="{FF2B5EF4-FFF2-40B4-BE49-F238E27FC236}">
              <a16:creationId xmlns:a16="http://schemas.microsoft.com/office/drawing/2014/main" id="{00000000-0008-0000-0B00-000026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262</xdr:row>
      <xdr:rowOff>0</xdr:rowOff>
    </xdr:from>
    <xdr:ext cx="76200" cy="206375"/>
    <xdr:sp macro="" textlink="">
      <xdr:nvSpPr>
        <xdr:cNvPr id="295" name="Text Box 43">
          <a:extLst>
            <a:ext uri="{FF2B5EF4-FFF2-40B4-BE49-F238E27FC236}">
              <a16:creationId xmlns:a16="http://schemas.microsoft.com/office/drawing/2014/main" id="{00000000-0008-0000-0B00-000027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263</xdr:row>
      <xdr:rowOff>0</xdr:rowOff>
    </xdr:from>
    <xdr:ext cx="76200" cy="206375"/>
    <xdr:sp macro="" textlink="">
      <xdr:nvSpPr>
        <xdr:cNvPr id="296" name="Text Box 42">
          <a:extLst>
            <a:ext uri="{FF2B5EF4-FFF2-40B4-BE49-F238E27FC236}">
              <a16:creationId xmlns:a16="http://schemas.microsoft.com/office/drawing/2014/main" id="{00000000-0008-0000-0B00-000028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263</xdr:row>
      <xdr:rowOff>0</xdr:rowOff>
    </xdr:from>
    <xdr:ext cx="76200" cy="206375"/>
    <xdr:sp macro="" textlink="">
      <xdr:nvSpPr>
        <xdr:cNvPr id="297" name="Text Box 43">
          <a:extLst>
            <a:ext uri="{FF2B5EF4-FFF2-40B4-BE49-F238E27FC236}">
              <a16:creationId xmlns:a16="http://schemas.microsoft.com/office/drawing/2014/main" id="{00000000-0008-0000-0B00-000029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264</xdr:row>
      <xdr:rowOff>0</xdr:rowOff>
    </xdr:from>
    <xdr:ext cx="76200" cy="206375"/>
    <xdr:sp macro="" textlink="">
      <xdr:nvSpPr>
        <xdr:cNvPr id="298" name="Text Box 42">
          <a:extLst>
            <a:ext uri="{FF2B5EF4-FFF2-40B4-BE49-F238E27FC236}">
              <a16:creationId xmlns:a16="http://schemas.microsoft.com/office/drawing/2014/main" id="{00000000-0008-0000-0B00-00002A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264</xdr:row>
      <xdr:rowOff>0</xdr:rowOff>
    </xdr:from>
    <xdr:ext cx="76200" cy="206375"/>
    <xdr:sp macro="" textlink="">
      <xdr:nvSpPr>
        <xdr:cNvPr id="299" name="Text Box 43">
          <a:extLst>
            <a:ext uri="{FF2B5EF4-FFF2-40B4-BE49-F238E27FC236}">
              <a16:creationId xmlns:a16="http://schemas.microsoft.com/office/drawing/2014/main" id="{00000000-0008-0000-0B00-00002B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265</xdr:row>
      <xdr:rowOff>0</xdr:rowOff>
    </xdr:from>
    <xdr:ext cx="76200" cy="206375"/>
    <xdr:sp macro="" textlink="">
      <xdr:nvSpPr>
        <xdr:cNvPr id="300" name="Text Box 42">
          <a:extLst>
            <a:ext uri="{FF2B5EF4-FFF2-40B4-BE49-F238E27FC236}">
              <a16:creationId xmlns:a16="http://schemas.microsoft.com/office/drawing/2014/main" id="{00000000-0008-0000-0B00-00002C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265</xdr:row>
      <xdr:rowOff>0</xdr:rowOff>
    </xdr:from>
    <xdr:ext cx="76200" cy="206375"/>
    <xdr:sp macro="" textlink="">
      <xdr:nvSpPr>
        <xdr:cNvPr id="301" name="Text Box 43">
          <a:extLst>
            <a:ext uri="{FF2B5EF4-FFF2-40B4-BE49-F238E27FC236}">
              <a16:creationId xmlns:a16="http://schemas.microsoft.com/office/drawing/2014/main" id="{00000000-0008-0000-0B00-00002D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266</xdr:row>
      <xdr:rowOff>0</xdr:rowOff>
    </xdr:from>
    <xdr:ext cx="76200" cy="206375"/>
    <xdr:sp macro="" textlink="">
      <xdr:nvSpPr>
        <xdr:cNvPr id="302" name="Text Box 42">
          <a:extLst>
            <a:ext uri="{FF2B5EF4-FFF2-40B4-BE49-F238E27FC236}">
              <a16:creationId xmlns:a16="http://schemas.microsoft.com/office/drawing/2014/main" id="{00000000-0008-0000-0B00-00002E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266</xdr:row>
      <xdr:rowOff>0</xdr:rowOff>
    </xdr:from>
    <xdr:ext cx="76200" cy="206375"/>
    <xdr:sp macro="" textlink="">
      <xdr:nvSpPr>
        <xdr:cNvPr id="303" name="Text Box 43">
          <a:extLst>
            <a:ext uri="{FF2B5EF4-FFF2-40B4-BE49-F238E27FC236}">
              <a16:creationId xmlns:a16="http://schemas.microsoft.com/office/drawing/2014/main" id="{00000000-0008-0000-0B00-00002F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267</xdr:row>
      <xdr:rowOff>0</xdr:rowOff>
    </xdr:from>
    <xdr:ext cx="76200" cy="206375"/>
    <xdr:sp macro="" textlink="">
      <xdr:nvSpPr>
        <xdr:cNvPr id="304" name="Text Box 42">
          <a:extLst>
            <a:ext uri="{FF2B5EF4-FFF2-40B4-BE49-F238E27FC236}">
              <a16:creationId xmlns:a16="http://schemas.microsoft.com/office/drawing/2014/main" id="{00000000-0008-0000-0B00-000030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267</xdr:row>
      <xdr:rowOff>0</xdr:rowOff>
    </xdr:from>
    <xdr:ext cx="76200" cy="206375"/>
    <xdr:sp macro="" textlink="">
      <xdr:nvSpPr>
        <xdr:cNvPr id="305" name="Text Box 43">
          <a:extLst>
            <a:ext uri="{FF2B5EF4-FFF2-40B4-BE49-F238E27FC236}">
              <a16:creationId xmlns:a16="http://schemas.microsoft.com/office/drawing/2014/main" id="{00000000-0008-0000-0B00-000031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268</xdr:row>
      <xdr:rowOff>0</xdr:rowOff>
    </xdr:from>
    <xdr:ext cx="76200" cy="206375"/>
    <xdr:sp macro="" textlink="">
      <xdr:nvSpPr>
        <xdr:cNvPr id="306" name="Text Box 42">
          <a:extLst>
            <a:ext uri="{FF2B5EF4-FFF2-40B4-BE49-F238E27FC236}">
              <a16:creationId xmlns:a16="http://schemas.microsoft.com/office/drawing/2014/main" id="{00000000-0008-0000-0B00-000032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268</xdr:row>
      <xdr:rowOff>0</xdr:rowOff>
    </xdr:from>
    <xdr:ext cx="76200" cy="206375"/>
    <xdr:sp macro="" textlink="">
      <xdr:nvSpPr>
        <xdr:cNvPr id="307" name="Text Box 43">
          <a:extLst>
            <a:ext uri="{FF2B5EF4-FFF2-40B4-BE49-F238E27FC236}">
              <a16:creationId xmlns:a16="http://schemas.microsoft.com/office/drawing/2014/main" id="{00000000-0008-0000-0B00-000033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269</xdr:row>
      <xdr:rowOff>0</xdr:rowOff>
    </xdr:from>
    <xdr:ext cx="76200" cy="206375"/>
    <xdr:sp macro="" textlink="">
      <xdr:nvSpPr>
        <xdr:cNvPr id="308" name="Text Box 42">
          <a:extLst>
            <a:ext uri="{FF2B5EF4-FFF2-40B4-BE49-F238E27FC236}">
              <a16:creationId xmlns:a16="http://schemas.microsoft.com/office/drawing/2014/main" id="{00000000-0008-0000-0B00-000034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269</xdr:row>
      <xdr:rowOff>0</xdr:rowOff>
    </xdr:from>
    <xdr:ext cx="76200" cy="206375"/>
    <xdr:sp macro="" textlink="">
      <xdr:nvSpPr>
        <xdr:cNvPr id="309" name="Text Box 43">
          <a:extLst>
            <a:ext uri="{FF2B5EF4-FFF2-40B4-BE49-F238E27FC236}">
              <a16:creationId xmlns:a16="http://schemas.microsoft.com/office/drawing/2014/main" id="{00000000-0008-0000-0B00-000035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270</xdr:row>
      <xdr:rowOff>0</xdr:rowOff>
    </xdr:from>
    <xdr:ext cx="76200" cy="206375"/>
    <xdr:sp macro="" textlink="">
      <xdr:nvSpPr>
        <xdr:cNvPr id="310" name="Text Box 42">
          <a:extLst>
            <a:ext uri="{FF2B5EF4-FFF2-40B4-BE49-F238E27FC236}">
              <a16:creationId xmlns:a16="http://schemas.microsoft.com/office/drawing/2014/main" id="{00000000-0008-0000-0B00-000036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270</xdr:row>
      <xdr:rowOff>0</xdr:rowOff>
    </xdr:from>
    <xdr:ext cx="76200" cy="206375"/>
    <xdr:sp macro="" textlink="">
      <xdr:nvSpPr>
        <xdr:cNvPr id="311" name="Text Box 43">
          <a:extLst>
            <a:ext uri="{FF2B5EF4-FFF2-40B4-BE49-F238E27FC236}">
              <a16:creationId xmlns:a16="http://schemas.microsoft.com/office/drawing/2014/main" id="{00000000-0008-0000-0B00-000037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271</xdr:row>
      <xdr:rowOff>0</xdr:rowOff>
    </xdr:from>
    <xdr:ext cx="76200" cy="206375"/>
    <xdr:sp macro="" textlink="">
      <xdr:nvSpPr>
        <xdr:cNvPr id="312" name="Text Box 42">
          <a:extLst>
            <a:ext uri="{FF2B5EF4-FFF2-40B4-BE49-F238E27FC236}">
              <a16:creationId xmlns:a16="http://schemas.microsoft.com/office/drawing/2014/main" id="{00000000-0008-0000-0B00-000038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271</xdr:row>
      <xdr:rowOff>0</xdr:rowOff>
    </xdr:from>
    <xdr:ext cx="76200" cy="206375"/>
    <xdr:sp macro="" textlink="">
      <xdr:nvSpPr>
        <xdr:cNvPr id="313" name="Text Box 43">
          <a:extLst>
            <a:ext uri="{FF2B5EF4-FFF2-40B4-BE49-F238E27FC236}">
              <a16:creationId xmlns:a16="http://schemas.microsoft.com/office/drawing/2014/main" id="{00000000-0008-0000-0B00-000039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272</xdr:row>
      <xdr:rowOff>0</xdr:rowOff>
    </xdr:from>
    <xdr:ext cx="76200" cy="206375"/>
    <xdr:sp macro="" textlink="">
      <xdr:nvSpPr>
        <xdr:cNvPr id="314" name="Text Box 42">
          <a:extLst>
            <a:ext uri="{FF2B5EF4-FFF2-40B4-BE49-F238E27FC236}">
              <a16:creationId xmlns:a16="http://schemas.microsoft.com/office/drawing/2014/main" id="{00000000-0008-0000-0B00-00003A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272</xdr:row>
      <xdr:rowOff>0</xdr:rowOff>
    </xdr:from>
    <xdr:ext cx="76200" cy="206375"/>
    <xdr:sp macro="" textlink="">
      <xdr:nvSpPr>
        <xdr:cNvPr id="315" name="Text Box 43">
          <a:extLst>
            <a:ext uri="{FF2B5EF4-FFF2-40B4-BE49-F238E27FC236}">
              <a16:creationId xmlns:a16="http://schemas.microsoft.com/office/drawing/2014/main" id="{00000000-0008-0000-0B00-00003B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273</xdr:row>
      <xdr:rowOff>0</xdr:rowOff>
    </xdr:from>
    <xdr:ext cx="76200" cy="206375"/>
    <xdr:sp macro="" textlink="">
      <xdr:nvSpPr>
        <xdr:cNvPr id="316" name="Text Box 42">
          <a:extLst>
            <a:ext uri="{FF2B5EF4-FFF2-40B4-BE49-F238E27FC236}">
              <a16:creationId xmlns:a16="http://schemas.microsoft.com/office/drawing/2014/main" id="{00000000-0008-0000-0B00-00003C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273</xdr:row>
      <xdr:rowOff>0</xdr:rowOff>
    </xdr:from>
    <xdr:ext cx="76200" cy="206375"/>
    <xdr:sp macro="" textlink="">
      <xdr:nvSpPr>
        <xdr:cNvPr id="317" name="Text Box 43">
          <a:extLst>
            <a:ext uri="{FF2B5EF4-FFF2-40B4-BE49-F238E27FC236}">
              <a16:creationId xmlns:a16="http://schemas.microsoft.com/office/drawing/2014/main" id="{00000000-0008-0000-0B00-00003D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274</xdr:row>
      <xdr:rowOff>0</xdr:rowOff>
    </xdr:from>
    <xdr:ext cx="76200" cy="206375"/>
    <xdr:sp macro="" textlink="">
      <xdr:nvSpPr>
        <xdr:cNvPr id="318" name="Text Box 42">
          <a:extLst>
            <a:ext uri="{FF2B5EF4-FFF2-40B4-BE49-F238E27FC236}">
              <a16:creationId xmlns:a16="http://schemas.microsoft.com/office/drawing/2014/main" id="{00000000-0008-0000-0B00-00003E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274</xdr:row>
      <xdr:rowOff>0</xdr:rowOff>
    </xdr:from>
    <xdr:ext cx="76200" cy="206375"/>
    <xdr:sp macro="" textlink="">
      <xdr:nvSpPr>
        <xdr:cNvPr id="319" name="Text Box 43">
          <a:extLst>
            <a:ext uri="{FF2B5EF4-FFF2-40B4-BE49-F238E27FC236}">
              <a16:creationId xmlns:a16="http://schemas.microsoft.com/office/drawing/2014/main" id="{00000000-0008-0000-0B00-00003F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275</xdr:row>
      <xdr:rowOff>0</xdr:rowOff>
    </xdr:from>
    <xdr:ext cx="76200" cy="206375"/>
    <xdr:sp macro="" textlink="">
      <xdr:nvSpPr>
        <xdr:cNvPr id="320" name="Text Box 42">
          <a:extLst>
            <a:ext uri="{FF2B5EF4-FFF2-40B4-BE49-F238E27FC236}">
              <a16:creationId xmlns:a16="http://schemas.microsoft.com/office/drawing/2014/main" id="{00000000-0008-0000-0B00-000040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275</xdr:row>
      <xdr:rowOff>0</xdr:rowOff>
    </xdr:from>
    <xdr:ext cx="76200" cy="206375"/>
    <xdr:sp macro="" textlink="">
      <xdr:nvSpPr>
        <xdr:cNvPr id="321" name="Text Box 43">
          <a:extLst>
            <a:ext uri="{FF2B5EF4-FFF2-40B4-BE49-F238E27FC236}">
              <a16:creationId xmlns:a16="http://schemas.microsoft.com/office/drawing/2014/main" id="{00000000-0008-0000-0B00-000041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276</xdr:row>
      <xdr:rowOff>0</xdr:rowOff>
    </xdr:from>
    <xdr:ext cx="76200" cy="206375"/>
    <xdr:sp macro="" textlink="">
      <xdr:nvSpPr>
        <xdr:cNvPr id="322" name="Text Box 42">
          <a:extLst>
            <a:ext uri="{FF2B5EF4-FFF2-40B4-BE49-F238E27FC236}">
              <a16:creationId xmlns:a16="http://schemas.microsoft.com/office/drawing/2014/main" id="{00000000-0008-0000-0B00-000042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276</xdr:row>
      <xdr:rowOff>0</xdr:rowOff>
    </xdr:from>
    <xdr:ext cx="76200" cy="206375"/>
    <xdr:sp macro="" textlink="">
      <xdr:nvSpPr>
        <xdr:cNvPr id="323" name="Text Box 43">
          <a:extLst>
            <a:ext uri="{FF2B5EF4-FFF2-40B4-BE49-F238E27FC236}">
              <a16:creationId xmlns:a16="http://schemas.microsoft.com/office/drawing/2014/main" id="{00000000-0008-0000-0B00-000043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277</xdr:row>
      <xdr:rowOff>0</xdr:rowOff>
    </xdr:from>
    <xdr:ext cx="76200" cy="206375"/>
    <xdr:sp macro="" textlink="">
      <xdr:nvSpPr>
        <xdr:cNvPr id="324" name="Text Box 42">
          <a:extLst>
            <a:ext uri="{FF2B5EF4-FFF2-40B4-BE49-F238E27FC236}">
              <a16:creationId xmlns:a16="http://schemas.microsoft.com/office/drawing/2014/main" id="{00000000-0008-0000-0B00-000044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277</xdr:row>
      <xdr:rowOff>0</xdr:rowOff>
    </xdr:from>
    <xdr:ext cx="76200" cy="206375"/>
    <xdr:sp macro="" textlink="">
      <xdr:nvSpPr>
        <xdr:cNvPr id="325" name="Text Box 43">
          <a:extLst>
            <a:ext uri="{FF2B5EF4-FFF2-40B4-BE49-F238E27FC236}">
              <a16:creationId xmlns:a16="http://schemas.microsoft.com/office/drawing/2014/main" id="{00000000-0008-0000-0B00-000045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278</xdr:row>
      <xdr:rowOff>0</xdr:rowOff>
    </xdr:from>
    <xdr:ext cx="76200" cy="206375"/>
    <xdr:sp macro="" textlink="">
      <xdr:nvSpPr>
        <xdr:cNvPr id="326" name="Text Box 42">
          <a:extLst>
            <a:ext uri="{FF2B5EF4-FFF2-40B4-BE49-F238E27FC236}">
              <a16:creationId xmlns:a16="http://schemas.microsoft.com/office/drawing/2014/main" id="{00000000-0008-0000-0B00-000046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278</xdr:row>
      <xdr:rowOff>0</xdr:rowOff>
    </xdr:from>
    <xdr:ext cx="76200" cy="206375"/>
    <xdr:sp macro="" textlink="">
      <xdr:nvSpPr>
        <xdr:cNvPr id="327" name="Text Box 43">
          <a:extLst>
            <a:ext uri="{FF2B5EF4-FFF2-40B4-BE49-F238E27FC236}">
              <a16:creationId xmlns:a16="http://schemas.microsoft.com/office/drawing/2014/main" id="{00000000-0008-0000-0B00-000047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279</xdr:row>
      <xdr:rowOff>0</xdr:rowOff>
    </xdr:from>
    <xdr:ext cx="76200" cy="206375"/>
    <xdr:sp macro="" textlink="">
      <xdr:nvSpPr>
        <xdr:cNvPr id="328" name="Text Box 42">
          <a:extLst>
            <a:ext uri="{FF2B5EF4-FFF2-40B4-BE49-F238E27FC236}">
              <a16:creationId xmlns:a16="http://schemas.microsoft.com/office/drawing/2014/main" id="{00000000-0008-0000-0B00-000048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279</xdr:row>
      <xdr:rowOff>0</xdr:rowOff>
    </xdr:from>
    <xdr:ext cx="76200" cy="206375"/>
    <xdr:sp macro="" textlink="">
      <xdr:nvSpPr>
        <xdr:cNvPr id="329" name="Text Box 43">
          <a:extLst>
            <a:ext uri="{FF2B5EF4-FFF2-40B4-BE49-F238E27FC236}">
              <a16:creationId xmlns:a16="http://schemas.microsoft.com/office/drawing/2014/main" id="{00000000-0008-0000-0B00-000049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280</xdr:row>
      <xdr:rowOff>0</xdr:rowOff>
    </xdr:from>
    <xdr:ext cx="76200" cy="206375"/>
    <xdr:sp macro="" textlink="">
      <xdr:nvSpPr>
        <xdr:cNvPr id="330" name="Text Box 42">
          <a:extLst>
            <a:ext uri="{FF2B5EF4-FFF2-40B4-BE49-F238E27FC236}">
              <a16:creationId xmlns:a16="http://schemas.microsoft.com/office/drawing/2014/main" id="{00000000-0008-0000-0B00-00004A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280</xdr:row>
      <xdr:rowOff>0</xdr:rowOff>
    </xdr:from>
    <xdr:ext cx="76200" cy="206375"/>
    <xdr:sp macro="" textlink="">
      <xdr:nvSpPr>
        <xdr:cNvPr id="331" name="Text Box 43">
          <a:extLst>
            <a:ext uri="{FF2B5EF4-FFF2-40B4-BE49-F238E27FC236}">
              <a16:creationId xmlns:a16="http://schemas.microsoft.com/office/drawing/2014/main" id="{00000000-0008-0000-0B00-00004B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281</xdr:row>
      <xdr:rowOff>0</xdr:rowOff>
    </xdr:from>
    <xdr:ext cx="76200" cy="206375"/>
    <xdr:sp macro="" textlink="">
      <xdr:nvSpPr>
        <xdr:cNvPr id="332" name="Text Box 42">
          <a:extLst>
            <a:ext uri="{FF2B5EF4-FFF2-40B4-BE49-F238E27FC236}">
              <a16:creationId xmlns:a16="http://schemas.microsoft.com/office/drawing/2014/main" id="{00000000-0008-0000-0B00-00004C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281</xdr:row>
      <xdr:rowOff>0</xdr:rowOff>
    </xdr:from>
    <xdr:ext cx="76200" cy="206375"/>
    <xdr:sp macro="" textlink="">
      <xdr:nvSpPr>
        <xdr:cNvPr id="333" name="Text Box 43">
          <a:extLst>
            <a:ext uri="{FF2B5EF4-FFF2-40B4-BE49-F238E27FC236}">
              <a16:creationId xmlns:a16="http://schemas.microsoft.com/office/drawing/2014/main" id="{00000000-0008-0000-0B00-00004D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282</xdr:row>
      <xdr:rowOff>0</xdr:rowOff>
    </xdr:from>
    <xdr:ext cx="76200" cy="206375"/>
    <xdr:sp macro="" textlink="">
      <xdr:nvSpPr>
        <xdr:cNvPr id="334" name="Text Box 42">
          <a:extLst>
            <a:ext uri="{FF2B5EF4-FFF2-40B4-BE49-F238E27FC236}">
              <a16:creationId xmlns:a16="http://schemas.microsoft.com/office/drawing/2014/main" id="{00000000-0008-0000-0B00-00004E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282</xdr:row>
      <xdr:rowOff>0</xdr:rowOff>
    </xdr:from>
    <xdr:ext cx="76200" cy="206375"/>
    <xdr:sp macro="" textlink="">
      <xdr:nvSpPr>
        <xdr:cNvPr id="335" name="Text Box 43">
          <a:extLst>
            <a:ext uri="{FF2B5EF4-FFF2-40B4-BE49-F238E27FC236}">
              <a16:creationId xmlns:a16="http://schemas.microsoft.com/office/drawing/2014/main" id="{00000000-0008-0000-0B00-00004F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283</xdr:row>
      <xdr:rowOff>0</xdr:rowOff>
    </xdr:from>
    <xdr:ext cx="76200" cy="206375"/>
    <xdr:sp macro="" textlink="">
      <xdr:nvSpPr>
        <xdr:cNvPr id="336" name="Text Box 42">
          <a:extLst>
            <a:ext uri="{FF2B5EF4-FFF2-40B4-BE49-F238E27FC236}">
              <a16:creationId xmlns:a16="http://schemas.microsoft.com/office/drawing/2014/main" id="{00000000-0008-0000-0B00-000050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283</xdr:row>
      <xdr:rowOff>0</xdr:rowOff>
    </xdr:from>
    <xdr:ext cx="76200" cy="206375"/>
    <xdr:sp macro="" textlink="">
      <xdr:nvSpPr>
        <xdr:cNvPr id="337" name="Text Box 43">
          <a:extLst>
            <a:ext uri="{FF2B5EF4-FFF2-40B4-BE49-F238E27FC236}">
              <a16:creationId xmlns:a16="http://schemas.microsoft.com/office/drawing/2014/main" id="{00000000-0008-0000-0B00-000051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284</xdr:row>
      <xdr:rowOff>0</xdr:rowOff>
    </xdr:from>
    <xdr:ext cx="76200" cy="206375"/>
    <xdr:sp macro="" textlink="">
      <xdr:nvSpPr>
        <xdr:cNvPr id="338" name="Text Box 42">
          <a:extLst>
            <a:ext uri="{FF2B5EF4-FFF2-40B4-BE49-F238E27FC236}">
              <a16:creationId xmlns:a16="http://schemas.microsoft.com/office/drawing/2014/main" id="{00000000-0008-0000-0B00-000052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284</xdr:row>
      <xdr:rowOff>0</xdr:rowOff>
    </xdr:from>
    <xdr:ext cx="76200" cy="206375"/>
    <xdr:sp macro="" textlink="">
      <xdr:nvSpPr>
        <xdr:cNvPr id="339" name="Text Box 43">
          <a:extLst>
            <a:ext uri="{FF2B5EF4-FFF2-40B4-BE49-F238E27FC236}">
              <a16:creationId xmlns:a16="http://schemas.microsoft.com/office/drawing/2014/main" id="{00000000-0008-0000-0B00-000053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285</xdr:row>
      <xdr:rowOff>0</xdr:rowOff>
    </xdr:from>
    <xdr:ext cx="76200" cy="206375"/>
    <xdr:sp macro="" textlink="">
      <xdr:nvSpPr>
        <xdr:cNvPr id="340" name="Text Box 42">
          <a:extLst>
            <a:ext uri="{FF2B5EF4-FFF2-40B4-BE49-F238E27FC236}">
              <a16:creationId xmlns:a16="http://schemas.microsoft.com/office/drawing/2014/main" id="{00000000-0008-0000-0B00-000054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285</xdr:row>
      <xdr:rowOff>0</xdr:rowOff>
    </xdr:from>
    <xdr:ext cx="76200" cy="206375"/>
    <xdr:sp macro="" textlink="">
      <xdr:nvSpPr>
        <xdr:cNvPr id="341" name="Text Box 43">
          <a:extLst>
            <a:ext uri="{FF2B5EF4-FFF2-40B4-BE49-F238E27FC236}">
              <a16:creationId xmlns:a16="http://schemas.microsoft.com/office/drawing/2014/main" id="{00000000-0008-0000-0B00-000055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286</xdr:row>
      <xdr:rowOff>0</xdr:rowOff>
    </xdr:from>
    <xdr:ext cx="76200" cy="206375"/>
    <xdr:sp macro="" textlink="">
      <xdr:nvSpPr>
        <xdr:cNvPr id="342" name="Text Box 42">
          <a:extLst>
            <a:ext uri="{FF2B5EF4-FFF2-40B4-BE49-F238E27FC236}">
              <a16:creationId xmlns:a16="http://schemas.microsoft.com/office/drawing/2014/main" id="{00000000-0008-0000-0B00-000056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286</xdr:row>
      <xdr:rowOff>0</xdr:rowOff>
    </xdr:from>
    <xdr:ext cx="76200" cy="206375"/>
    <xdr:sp macro="" textlink="">
      <xdr:nvSpPr>
        <xdr:cNvPr id="343" name="Text Box 43">
          <a:extLst>
            <a:ext uri="{FF2B5EF4-FFF2-40B4-BE49-F238E27FC236}">
              <a16:creationId xmlns:a16="http://schemas.microsoft.com/office/drawing/2014/main" id="{00000000-0008-0000-0B00-000057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287</xdr:row>
      <xdr:rowOff>0</xdr:rowOff>
    </xdr:from>
    <xdr:ext cx="76200" cy="206375"/>
    <xdr:sp macro="" textlink="">
      <xdr:nvSpPr>
        <xdr:cNvPr id="344" name="Text Box 42">
          <a:extLst>
            <a:ext uri="{FF2B5EF4-FFF2-40B4-BE49-F238E27FC236}">
              <a16:creationId xmlns:a16="http://schemas.microsoft.com/office/drawing/2014/main" id="{00000000-0008-0000-0B00-000058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287</xdr:row>
      <xdr:rowOff>0</xdr:rowOff>
    </xdr:from>
    <xdr:ext cx="76200" cy="206375"/>
    <xdr:sp macro="" textlink="">
      <xdr:nvSpPr>
        <xdr:cNvPr id="345" name="Text Box 43">
          <a:extLst>
            <a:ext uri="{FF2B5EF4-FFF2-40B4-BE49-F238E27FC236}">
              <a16:creationId xmlns:a16="http://schemas.microsoft.com/office/drawing/2014/main" id="{00000000-0008-0000-0B00-000059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288</xdr:row>
      <xdr:rowOff>0</xdr:rowOff>
    </xdr:from>
    <xdr:ext cx="76200" cy="206375"/>
    <xdr:sp macro="" textlink="">
      <xdr:nvSpPr>
        <xdr:cNvPr id="346" name="Text Box 42">
          <a:extLst>
            <a:ext uri="{FF2B5EF4-FFF2-40B4-BE49-F238E27FC236}">
              <a16:creationId xmlns:a16="http://schemas.microsoft.com/office/drawing/2014/main" id="{00000000-0008-0000-0B00-00005A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288</xdr:row>
      <xdr:rowOff>0</xdr:rowOff>
    </xdr:from>
    <xdr:ext cx="76200" cy="206375"/>
    <xdr:sp macro="" textlink="">
      <xdr:nvSpPr>
        <xdr:cNvPr id="347" name="Text Box 43">
          <a:extLst>
            <a:ext uri="{FF2B5EF4-FFF2-40B4-BE49-F238E27FC236}">
              <a16:creationId xmlns:a16="http://schemas.microsoft.com/office/drawing/2014/main" id="{00000000-0008-0000-0B00-00005B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289</xdr:row>
      <xdr:rowOff>0</xdr:rowOff>
    </xdr:from>
    <xdr:ext cx="76200" cy="206375"/>
    <xdr:sp macro="" textlink="">
      <xdr:nvSpPr>
        <xdr:cNvPr id="348" name="Text Box 42">
          <a:extLst>
            <a:ext uri="{FF2B5EF4-FFF2-40B4-BE49-F238E27FC236}">
              <a16:creationId xmlns:a16="http://schemas.microsoft.com/office/drawing/2014/main" id="{00000000-0008-0000-0B00-00005C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289</xdr:row>
      <xdr:rowOff>0</xdr:rowOff>
    </xdr:from>
    <xdr:ext cx="76200" cy="206375"/>
    <xdr:sp macro="" textlink="">
      <xdr:nvSpPr>
        <xdr:cNvPr id="349" name="Text Box 43">
          <a:extLst>
            <a:ext uri="{FF2B5EF4-FFF2-40B4-BE49-F238E27FC236}">
              <a16:creationId xmlns:a16="http://schemas.microsoft.com/office/drawing/2014/main" id="{00000000-0008-0000-0B00-00005D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290</xdr:row>
      <xdr:rowOff>0</xdr:rowOff>
    </xdr:from>
    <xdr:ext cx="76200" cy="206375"/>
    <xdr:sp macro="" textlink="">
      <xdr:nvSpPr>
        <xdr:cNvPr id="350" name="Text Box 42">
          <a:extLst>
            <a:ext uri="{FF2B5EF4-FFF2-40B4-BE49-F238E27FC236}">
              <a16:creationId xmlns:a16="http://schemas.microsoft.com/office/drawing/2014/main" id="{00000000-0008-0000-0B00-00005E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290</xdr:row>
      <xdr:rowOff>0</xdr:rowOff>
    </xdr:from>
    <xdr:ext cx="76200" cy="206375"/>
    <xdr:sp macro="" textlink="">
      <xdr:nvSpPr>
        <xdr:cNvPr id="351" name="Text Box 43">
          <a:extLst>
            <a:ext uri="{FF2B5EF4-FFF2-40B4-BE49-F238E27FC236}">
              <a16:creationId xmlns:a16="http://schemas.microsoft.com/office/drawing/2014/main" id="{00000000-0008-0000-0B00-00005F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291</xdr:row>
      <xdr:rowOff>0</xdr:rowOff>
    </xdr:from>
    <xdr:ext cx="76200" cy="206375"/>
    <xdr:sp macro="" textlink="">
      <xdr:nvSpPr>
        <xdr:cNvPr id="352" name="Text Box 42">
          <a:extLst>
            <a:ext uri="{FF2B5EF4-FFF2-40B4-BE49-F238E27FC236}">
              <a16:creationId xmlns:a16="http://schemas.microsoft.com/office/drawing/2014/main" id="{00000000-0008-0000-0B00-000060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291</xdr:row>
      <xdr:rowOff>0</xdr:rowOff>
    </xdr:from>
    <xdr:ext cx="76200" cy="206375"/>
    <xdr:sp macro="" textlink="">
      <xdr:nvSpPr>
        <xdr:cNvPr id="353" name="Text Box 43">
          <a:extLst>
            <a:ext uri="{FF2B5EF4-FFF2-40B4-BE49-F238E27FC236}">
              <a16:creationId xmlns:a16="http://schemas.microsoft.com/office/drawing/2014/main" id="{00000000-0008-0000-0B00-000061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292</xdr:row>
      <xdr:rowOff>0</xdr:rowOff>
    </xdr:from>
    <xdr:ext cx="76200" cy="206375"/>
    <xdr:sp macro="" textlink="">
      <xdr:nvSpPr>
        <xdr:cNvPr id="354" name="Text Box 42">
          <a:extLst>
            <a:ext uri="{FF2B5EF4-FFF2-40B4-BE49-F238E27FC236}">
              <a16:creationId xmlns:a16="http://schemas.microsoft.com/office/drawing/2014/main" id="{00000000-0008-0000-0B00-000062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292</xdr:row>
      <xdr:rowOff>0</xdr:rowOff>
    </xdr:from>
    <xdr:ext cx="76200" cy="206375"/>
    <xdr:sp macro="" textlink="">
      <xdr:nvSpPr>
        <xdr:cNvPr id="355" name="Text Box 43">
          <a:extLst>
            <a:ext uri="{FF2B5EF4-FFF2-40B4-BE49-F238E27FC236}">
              <a16:creationId xmlns:a16="http://schemas.microsoft.com/office/drawing/2014/main" id="{00000000-0008-0000-0B00-000063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293</xdr:row>
      <xdr:rowOff>0</xdr:rowOff>
    </xdr:from>
    <xdr:ext cx="76200" cy="206375"/>
    <xdr:sp macro="" textlink="">
      <xdr:nvSpPr>
        <xdr:cNvPr id="356" name="Text Box 42">
          <a:extLst>
            <a:ext uri="{FF2B5EF4-FFF2-40B4-BE49-F238E27FC236}">
              <a16:creationId xmlns:a16="http://schemas.microsoft.com/office/drawing/2014/main" id="{00000000-0008-0000-0B00-000064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293</xdr:row>
      <xdr:rowOff>0</xdr:rowOff>
    </xdr:from>
    <xdr:ext cx="76200" cy="206375"/>
    <xdr:sp macro="" textlink="">
      <xdr:nvSpPr>
        <xdr:cNvPr id="357" name="Text Box 43">
          <a:extLst>
            <a:ext uri="{FF2B5EF4-FFF2-40B4-BE49-F238E27FC236}">
              <a16:creationId xmlns:a16="http://schemas.microsoft.com/office/drawing/2014/main" id="{00000000-0008-0000-0B00-000065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294</xdr:row>
      <xdr:rowOff>0</xdr:rowOff>
    </xdr:from>
    <xdr:ext cx="76200" cy="206375"/>
    <xdr:sp macro="" textlink="">
      <xdr:nvSpPr>
        <xdr:cNvPr id="358" name="Text Box 42">
          <a:extLst>
            <a:ext uri="{FF2B5EF4-FFF2-40B4-BE49-F238E27FC236}">
              <a16:creationId xmlns:a16="http://schemas.microsoft.com/office/drawing/2014/main" id="{00000000-0008-0000-0B00-000066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294</xdr:row>
      <xdr:rowOff>0</xdr:rowOff>
    </xdr:from>
    <xdr:ext cx="76200" cy="206375"/>
    <xdr:sp macro="" textlink="">
      <xdr:nvSpPr>
        <xdr:cNvPr id="359" name="Text Box 43">
          <a:extLst>
            <a:ext uri="{FF2B5EF4-FFF2-40B4-BE49-F238E27FC236}">
              <a16:creationId xmlns:a16="http://schemas.microsoft.com/office/drawing/2014/main" id="{00000000-0008-0000-0B00-000067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295</xdr:row>
      <xdr:rowOff>0</xdr:rowOff>
    </xdr:from>
    <xdr:ext cx="76200" cy="206375"/>
    <xdr:sp macro="" textlink="">
      <xdr:nvSpPr>
        <xdr:cNvPr id="360" name="Text Box 42">
          <a:extLst>
            <a:ext uri="{FF2B5EF4-FFF2-40B4-BE49-F238E27FC236}">
              <a16:creationId xmlns:a16="http://schemas.microsoft.com/office/drawing/2014/main" id="{00000000-0008-0000-0B00-000068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295</xdr:row>
      <xdr:rowOff>0</xdr:rowOff>
    </xdr:from>
    <xdr:ext cx="76200" cy="206375"/>
    <xdr:sp macro="" textlink="">
      <xdr:nvSpPr>
        <xdr:cNvPr id="361" name="Text Box 43">
          <a:extLst>
            <a:ext uri="{FF2B5EF4-FFF2-40B4-BE49-F238E27FC236}">
              <a16:creationId xmlns:a16="http://schemas.microsoft.com/office/drawing/2014/main" id="{00000000-0008-0000-0B00-000069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296</xdr:row>
      <xdr:rowOff>0</xdr:rowOff>
    </xdr:from>
    <xdr:ext cx="76200" cy="206375"/>
    <xdr:sp macro="" textlink="">
      <xdr:nvSpPr>
        <xdr:cNvPr id="362" name="Text Box 42">
          <a:extLst>
            <a:ext uri="{FF2B5EF4-FFF2-40B4-BE49-F238E27FC236}">
              <a16:creationId xmlns:a16="http://schemas.microsoft.com/office/drawing/2014/main" id="{00000000-0008-0000-0B00-00006A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296</xdr:row>
      <xdr:rowOff>0</xdr:rowOff>
    </xdr:from>
    <xdr:ext cx="76200" cy="206375"/>
    <xdr:sp macro="" textlink="">
      <xdr:nvSpPr>
        <xdr:cNvPr id="363" name="Text Box 43">
          <a:extLst>
            <a:ext uri="{FF2B5EF4-FFF2-40B4-BE49-F238E27FC236}">
              <a16:creationId xmlns:a16="http://schemas.microsoft.com/office/drawing/2014/main" id="{00000000-0008-0000-0B00-00006B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297</xdr:row>
      <xdr:rowOff>0</xdr:rowOff>
    </xdr:from>
    <xdr:ext cx="76200" cy="206375"/>
    <xdr:sp macro="" textlink="">
      <xdr:nvSpPr>
        <xdr:cNvPr id="364" name="Text Box 42">
          <a:extLst>
            <a:ext uri="{FF2B5EF4-FFF2-40B4-BE49-F238E27FC236}">
              <a16:creationId xmlns:a16="http://schemas.microsoft.com/office/drawing/2014/main" id="{00000000-0008-0000-0B00-00006C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297</xdr:row>
      <xdr:rowOff>0</xdr:rowOff>
    </xdr:from>
    <xdr:ext cx="76200" cy="206375"/>
    <xdr:sp macro="" textlink="">
      <xdr:nvSpPr>
        <xdr:cNvPr id="365" name="Text Box 43">
          <a:extLst>
            <a:ext uri="{FF2B5EF4-FFF2-40B4-BE49-F238E27FC236}">
              <a16:creationId xmlns:a16="http://schemas.microsoft.com/office/drawing/2014/main" id="{00000000-0008-0000-0B00-00006D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298</xdr:row>
      <xdr:rowOff>0</xdr:rowOff>
    </xdr:from>
    <xdr:ext cx="76200" cy="206375"/>
    <xdr:sp macro="" textlink="">
      <xdr:nvSpPr>
        <xdr:cNvPr id="366" name="Text Box 42">
          <a:extLst>
            <a:ext uri="{FF2B5EF4-FFF2-40B4-BE49-F238E27FC236}">
              <a16:creationId xmlns:a16="http://schemas.microsoft.com/office/drawing/2014/main" id="{00000000-0008-0000-0B00-00006E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298</xdr:row>
      <xdr:rowOff>0</xdr:rowOff>
    </xdr:from>
    <xdr:ext cx="76200" cy="206375"/>
    <xdr:sp macro="" textlink="">
      <xdr:nvSpPr>
        <xdr:cNvPr id="367" name="Text Box 43">
          <a:extLst>
            <a:ext uri="{FF2B5EF4-FFF2-40B4-BE49-F238E27FC236}">
              <a16:creationId xmlns:a16="http://schemas.microsoft.com/office/drawing/2014/main" id="{00000000-0008-0000-0B00-00006F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299</xdr:row>
      <xdr:rowOff>0</xdr:rowOff>
    </xdr:from>
    <xdr:ext cx="76200" cy="206375"/>
    <xdr:sp macro="" textlink="">
      <xdr:nvSpPr>
        <xdr:cNvPr id="368" name="Text Box 42">
          <a:extLst>
            <a:ext uri="{FF2B5EF4-FFF2-40B4-BE49-F238E27FC236}">
              <a16:creationId xmlns:a16="http://schemas.microsoft.com/office/drawing/2014/main" id="{00000000-0008-0000-0B00-000070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299</xdr:row>
      <xdr:rowOff>0</xdr:rowOff>
    </xdr:from>
    <xdr:ext cx="76200" cy="206375"/>
    <xdr:sp macro="" textlink="">
      <xdr:nvSpPr>
        <xdr:cNvPr id="369" name="Text Box 43">
          <a:extLst>
            <a:ext uri="{FF2B5EF4-FFF2-40B4-BE49-F238E27FC236}">
              <a16:creationId xmlns:a16="http://schemas.microsoft.com/office/drawing/2014/main" id="{00000000-0008-0000-0B00-000071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300</xdr:row>
      <xdr:rowOff>0</xdr:rowOff>
    </xdr:from>
    <xdr:ext cx="76200" cy="206375"/>
    <xdr:sp macro="" textlink="">
      <xdr:nvSpPr>
        <xdr:cNvPr id="370" name="Text Box 42">
          <a:extLst>
            <a:ext uri="{FF2B5EF4-FFF2-40B4-BE49-F238E27FC236}">
              <a16:creationId xmlns:a16="http://schemas.microsoft.com/office/drawing/2014/main" id="{00000000-0008-0000-0B00-000072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300</xdr:row>
      <xdr:rowOff>0</xdr:rowOff>
    </xdr:from>
    <xdr:ext cx="76200" cy="206375"/>
    <xdr:sp macro="" textlink="">
      <xdr:nvSpPr>
        <xdr:cNvPr id="371" name="Text Box 43">
          <a:extLst>
            <a:ext uri="{FF2B5EF4-FFF2-40B4-BE49-F238E27FC236}">
              <a16:creationId xmlns:a16="http://schemas.microsoft.com/office/drawing/2014/main" id="{00000000-0008-0000-0B00-000073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301</xdr:row>
      <xdr:rowOff>0</xdr:rowOff>
    </xdr:from>
    <xdr:ext cx="76200" cy="206375"/>
    <xdr:sp macro="" textlink="">
      <xdr:nvSpPr>
        <xdr:cNvPr id="372" name="Text Box 42">
          <a:extLst>
            <a:ext uri="{FF2B5EF4-FFF2-40B4-BE49-F238E27FC236}">
              <a16:creationId xmlns:a16="http://schemas.microsoft.com/office/drawing/2014/main" id="{00000000-0008-0000-0B00-000074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301</xdr:row>
      <xdr:rowOff>0</xdr:rowOff>
    </xdr:from>
    <xdr:ext cx="76200" cy="206375"/>
    <xdr:sp macro="" textlink="">
      <xdr:nvSpPr>
        <xdr:cNvPr id="373" name="Text Box 43">
          <a:extLst>
            <a:ext uri="{FF2B5EF4-FFF2-40B4-BE49-F238E27FC236}">
              <a16:creationId xmlns:a16="http://schemas.microsoft.com/office/drawing/2014/main" id="{00000000-0008-0000-0B00-000075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302</xdr:row>
      <xdr:rowOff>0</xdr:rowOff>
    </xdr:from>
    <xdr:ext cx="76200" cy="206375"/>
    <xdr:sp macro="" textlink="">
      <xdr:nvSpPr>
        <xdr:cNvPr id="374" name="Text Box 42">
          <a:extLst>
            <a:ext uri="{FF2B5EF4-FFF2-40B4-BE49-F238E27FC236}">
              <a16:creationId xmlns:a16="http://schemas.microsoft.com/office/drawing/2014/main" id="{00000000-0008-0000-0B00-000076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302</xdr:row>
      <xdr:rowOff>0</xdr:rowOff>
    </xdr:from>
    <xdr:ext cx="76200" cy="206375"/>
    <xdr:sp macro="" textlink="">
      <xdr:nvSpPr>
        <xdr:cNvPr id="375" name="Text Box 43">
          <a:extLst>
            <a:ext uri="{FF2B5EF4-FFF2-40B4-BE49-F238E27FC236}">
              <a16:creationId xmlns:a16="http://schemas.microsoft.com/office/drawing/2014/main" id="{00000000-0008-0000-0B00-000077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303</xdr:row>
      <xdr:rowOff>0</xdr:rowOff>
    </xdr:from>
    <xdr:ext cx="76200" cy="206375"/>
    <xdr:sp macro="" textlink="">
      <xdr:nvSpPr>
        <xdr:cNvPr id="376" name="Text Box 42">
          <a:extLst>
            <a:ext uri="{FF2B5EF4-FFF2-40B4-BE49-F238E27FC236}">
              <a16:creationId xmlns:a16="http://schemas.microsoft.com/office/drawing/2014/main" id="{00000000-0008-0000-0B00-000078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303</xdr:row>
      <xdr:rowOff>0</xdr:rowOff>
    </xdr:from>
    <xdr:ext cx="76200" cy="206375"/>
    <xdr:sp macro="" textlink="">
      <xdr:nvSpPr>
        <xdr:cNvPr id="377" name="Text Box 43">
          <a:extLst>
            <a:ext uri="{FF2B5EF4-FFF2-40B4-BE49-F238E27FC236}">
              <a16:creationId xmlns:a16="http://schemas.microsoft.com/office/drawing/2014/main" id="{00000000-0008-0000-0B00-000079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304</xdr:row>
      <xdr:rowOff>0</xdr:rowOff>
    </xdr:from>
    <xdr:ext cx="76200" cy="206375"/>
    <xdr:sp macro="" textlink="">
      <xdr:nvSpPr>
        <xdr:cNvPr id="378" name="Text Box 42">
          <a:extLst>
            <a:ext uri="{FF2B5EF4-FFF2-40B4-BE49-F238E27FC236}">
              <a16:creationId xmlns:a16="http://schemas.microsoft.com/office/drawing/2014/main" id="{00000000-0008-0000-0B00-00007A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304</xdr:row>
      <xdr:rowOff>0</xdr:rowOff>
    </xdr:from>
    <xdr:ext cx="76200" cy="206375"/>
    <xdr:sp macro="" textlink="">
      <xdr:nvSpPr>
        <xdr:cNvPr id="379" name="Text Box 43">
          <a:extLst>
            <a:ext uri="{FF2B5EF4-FFF2-40B4-BE49-F238E27FC236}">
              <a16:creationId xmlns:a16="http://schemas.microsoft.com/office/drawing/2014/main" id="{00000000-0008-0000-0B00-00007B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305</xdr:row>
      <xdr:rowOff>0</xdr:rowOff>
    </xdr:from>
    <xdr:ext cx="76200" cy="206375"/>
    <xdr:sp macro="" textlink="">
      <xdr:nvSpPr>
        <xdr:cNvPr id="380" name="Text Box 42">
          <a:extLst>
            <a:ext uri="{FF2B5EF4-FFF2-40B4-BE49-F238E27FC236}">
              <a16:creationId xmlns:a16="http://schemas.microsoft.com/office/drawing/2014/main" id="{00000000-0008-0000-0B00-00007C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305</xdr:row>
      <xdr:rowOff>0</xdr:rowOff>
    </xdr:from>
    <xdr:ext cx="76200" cy="206375"/>
    <xdr:sp macro="" textlink="">
      <xdr:nvSpPr>
        <xdr:cNvPr id="381" name="Text Box 43">
          <a:extLst>
            <a:ext uri="{FF2B5EF4-FFF2-40B4-BE49-F238E27FC236}">
              <a16:creationId xmlns:a16="http://schemas.microsoft.com/office/drawing/2014/main" id="{00000000-0008-0000-0B00-00007D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306</xdr:row>
      <xdr:rowOff>0</xdr:rowOff>
    </xdr:from>
    <xdr:ext cx="76200" cy="206375"/>
    <xdr:sp macro="" textlink="">
      <xdr:nvSpPr>
        <xdr:cNvPr id="382" name="Text Box 42">
          <a:extLst>
            <a:ext uri="{FF2B5EF4-FFF2-40B4-BE49-F238E27FC236}">
              <a16:creationId xmlns:a16="http://schemas.microsoft.com/office/drawing/2014/main" id="{00000000-0008-0000-0B00-00007E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306</xdr:row>
      <xdr:rowOff>0</xdr:rowOff>
    </xdr:from>
    <xdr:ext cx="76200" cy="206375"/>
    <xdr:sp macro="" textlink="">
      <xdr:nvSpPr>
        <xdr:cNvPr id="383" name="Text Box 43">
          <a:extLst>
            <a:ext uri="{FF2B5EF4-FFF2-40B4-BE49-F238E27FC236}">
              <a16:creationId xmlns:a16="http://schemas.microsoft.com/office/drawing/2014/main" id="{00000000-0008-0000-0B00-00007F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307</xdr:row>
      <xdr:rowOff>0</xdr:rowOff>
    </xdr:from>
    <xdr:ext cx="76200" cy="206375"/>
    <xdr:sp macro="" textlink="">
      <xdr:nvSpPr>
        <xdr:cNvPr id="384" name="Text Box 42">
          <a:extLst>
            <a:ext uri="{FF2B5EF4-FFF2-40B4-BE49-F238E27FC236}">
              <a16:creationId xmlns:a16="http://schemas.microsoft.com/office/drawing/2014/main" id="{00000000-0008-0000-0B00-000080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307</xdr:row>
      <xdr:rowOff>0</xdr:rowOff>
    </xdr:from>
    <xdr:ext cx="76200" cy="206375"/>
    <xdr:sp macro="" textlink="">
      <xdr:nvSpPr>
        <xdr:cNvPr id="385" name="Text Box 43">
          <a:extLst>
            <a:ext uri="{FF2B5EF4-FFF2-40B4-BE49-F238E27FC236}">
              <a16:creationId xmlns:a16="http://schemas.microsoft.com/office/drawing/2014/main" id="{00000000-0008-0000-0B00-000081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308</xdr:row>
      <xdr:rowOff>0</xdr:rowOff>
    </xdr:from>
    <xdr:ext cx="76200" cy="206375"/>
    <xdr:sp macro="" textlink="">
      <xdr:nvSpPr>
        <xdr:cNvPr id="386" name="Text Box 42">
          <a:extLst>
            <a:ext uri="{FF2B5EF4-FFF2-40B4-BE49-F238E27FC236}">
              <a16:creationId xmlns:a16="http://schemas.microsoft.com/office/drawing/2014/main" id="{00000000-0008-0000-0B00-000082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308</xdr:row>
      <xdr:rowOff>0</xdr:rowOff>
    </xdr:from>
    <xdr:ext cx="76200" cy="206375"/>
    <xdr:sp macro="" textlink="">
      <xdr:nvSpPr>
        <xdr:cNvPr id="387" name="Text Box 43">
          <a:extLst>
            <a:ext uri="{FF2B5EF4-FFF2-40B4-BE49-F238E27FC236}">
              <a16:creationId xmlns:a16="http://schemas.microsoft.com/office/drawing/2014/main" id="{00000000-0008-0000-0B00-000083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309</xdr:row>
      <xdr:rowOff>0</xdr:rowOff>
    </xdr:from>
    <xdr:ext cx="76200" cy="206375"/>
    <xdr:sp macro="" textlink="">
      <xdr:nvSpPr>
        <xdr:cNvPr id="388" name="Text Box 42">
          <a:extLst>
            <a:ext uri="{FF2B5EF4-FFF2-40B4-BE49-F238E27FC236}">
              <a16:creationId xmlns:a16="http://schemas.microsoft.com/office/drawing/2014/main" id="{00000000-0008-0000-0B00-000084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309</xdr:row>
      <xdr:rowOff>0</xdr:rowOff>
    </xdr:from>
    <xdr:ext cx="76200" cy="206375"/>
    <xdr:sp macro="" textlink="">
      <xdr:nvSpPr>
        <xdr:cNvPr id="389" name="Text Box 43">
          <a:extLst>
            <a:ext uri="{FF2B5EF4-FFF2-40B4-BE49-F238E27FC236}">
              <a16:creationId xmlns:a16="http://schemas.microsoft.com/office/drawing/2014/main" id="{00000000-0008-0000-0B00-000085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310</xdr:row>
      <xdr:rowOff>0</xdr:rowOff>
    </xdr:from>
    <xdr:ext cx="76200" cy="206375"/>
    <xdr:sp macro="" textlink="">
      <xdr:nvSpPr>
        <xdr:cNvPr id="390" name="Text Box 42">
          <a:extLst>
            <a:ext uri="{FF2B5EF4-FFF2-40B4-BE49-F238E27FC236}">
              <a16:creationId xmlns:a16="http://schemas.microsoft.com/office/drawing/2014/main" id="{00000000-0008-0000-0B00-000086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310</xdr:row>
      <xdr:rowOff>0</xdr:rowOff>
    </xdr:from>
    <xdr:ext cx="76200" cy="206375"/>
    <xdr:sp macro="" textlink="">
      <xdr:nvSpPr>
        <xdr:cNvPr id="391" name="Text Box 43">
          <a:extLst>
            <a:ext uri="{FF2B5EF4-FFF2-40B4-BE49-F238E27FC236}">
              <a16:creationId xmlns:a16="http://schemas.microsoft.com/office/drawing/2014/main" id="{00000000-0008-0000-0B00-000087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311</xdr:row>
      <xdr:rowOff>0</xdr:rowOff>
    </xdr:from>
    <xdr:ext cx="76200" cy="206375"/>
    <xdr:sp macro="" textlink="">
      <xdr:nvSpPr>
        <xdr:cNvPr id="392" name="Text Box 42">
          <a:extLst>
            <a:ext uri="{FF2B5EF4-FFF2-40B4-BE49-F238E27FC236}">
              <a16:creationId xmlns:a16="http://schemas.microsoft.com/office/drawing/2014/main" id="{00000000-0008-0000-0B00-000088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311</xdr:row>
      <xdr:rowOff>0</xdr:rowOff>
    </xdr:from>
    <xdr:ext cx="76200" cy="206375"/>
    <xdr:sp macro="" textlink="">
      <xdr:nvSpPr>
        <xdr:cNvPr id="393" name="Text Box 43">
          <a:extLst>
            <a:ext uri="{FF2B5EF4-FFF2-40B4-BE49-F238E27FC236}">
              <a16:creationId xmlns:a16="http://schemas.microsoft.com/office/drawing/2014/main" id="{00000000-0008-0000-0B00-000089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312</xdr:row>
      <xdr:rowOff>0</xdr:rowOff>
    </xdr:from>
    <xdr:ext cx="76200" cy="206375"/>
    <xdr:sp macro="" textlink="">
      <xdr:nvSpPr>
        <xdr:cNvPr id="394" name="Text Box 42">
          <a:extLst>
            <a:ext uri="{FF2B5EF4-FFF2-40B4-BE49-F238E27FC236}">
              <a16:creationId xmlns:a16="http://schemas.microsoft.com/office/drawing/2014/main" id="{00000000-0008-0000-0B00-00008A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312</xdr:row>
      <xdr:rowOff>0</xdr:rowOff>
    </xdr:from>
    <xdr:ext cx="76200" cy="206375"/>
    <xdr:sp macro="" textlink="">
      <xdr:nvSpPr>
        <xdr:cNvPr id="395" name="Text Box 43">
          <a:extLst>
            <a:ext uri="{FF2B5EF4-FFF2-40B4-BE49-F238E27FC236}">
              <a16:creationId xmlns:a16="http://schemas.microsoft.com/office/drawing/2014/main" id="{00000000-0008-0000-0B00-00008B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313</xdr:row>
      <xdr:rowOff>0</xdr:rowOff>
    </xdr:from>
    <xdr:ext cx="76200" cy="206375"/>
    <xdr:sp macro="" textlink="">
      <xdr:nvSpPr>
        <xdr:cNvPr id="396" name="Text Box 42">
          <a:extLst>
            <a:ext uri="{FF2B5EF4-FFF2-40B4-BE49-F238E27FC236}">
              <a16:creationId xmlns:a16="http://schemas.microsoft.com/office/drawing/2014/main" id="{00000000-0008-0000-0B00-00008C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313</xdr:row>
      <xdr:rowOff>0</xdr:rowOff>
    </xdr:from>
    <xdr:ext cx="76200" cy="206375"/>
    <xdr:sp macro="" textlink="">
      <xdr:nvSpPr>
        <xdr:cNvPr id="397" name="Text Box 43">
          <a:extLst>
            <a:ext uri="{FF2B5EF4-FFF2-40B4-BE49-F238E27FC236}">
              <a16:creationId xmlns:a16="http://schemas.microsoft.com/office/drawing/2014/main" id="{00000000-0008-0000-0B00-00008D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314</xdr:row>
      <xdr:rowOff>0</xdr:rowOff>
    </xdr:from>
    <xdr:ext cx="76200" cy="206375"/>
    <xdr:sp macro="" textlink="">
      <xdr:nvSpPr>
        <xdr:cNvPr id="398" name="Text Box 42">
          <a:extLst>
            <a:ext uri="{FF2B5EF4-FFF2-40B4-BE49-F238E27FC236}">
              <a16:creationId xmlns:a16="http://schemas.microsoft.com/office/drawing/2014/main" id="{00000000-0008-0000-0B00-00008E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314</xdr:row>
      <xdr:rowOff>0</xdr:rowOff>
    </xdr:from>
    <xdr:ext cx="76200" cy="206375"/>
    <xdr:sp macro="" textlink="">
      <xdr:nvSpPr>
        <xdr:cNvPr id="399" name="Text Box 43">
          <a:extLst>
            <a:ext uri="{FF2B5EF4-FFF2-40B4-BE49-F238E27FC236}">
              <a16:creationId xmlns:a16="http://schemas.microsoft.com/office/drawing/2014/main" id="{00000000-0008-0000-0B00-00008F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315</xdr:row>
      <xdr:rowOff>0</xdr:rowOff>
    </xdr:from>
    <xdr:ext cx="76200" cy="206375"/>
    <xdr:sp macro="" textlink="">
      <xdr:nvSpPr>
        <xdr:cNvPr id="400" name="Text Box 42">
          <a:extLst>
            <a:ext uri="{FF2B5EF4-FFF2-40B4-BE49-F238E27FC236}">
              <a16:creationId xmlns:a16="http://schemas.microsoft.com/office/drawing/2014/main" id="{00000000-0008-0000-0B00-000090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315</xdr:row>
      <xdr:rowOff>0</xdr:rowOff>
    </xdr:from>
    <xdr:ext cx="76200" cy="206375"/>
    <xdr:sp macro="" textlink="">
      <xdr:nvSpPr>
        <xdr:cNvPr id="401" name="Text Box 43">
          <a:extLst>
            <a:ext uri="{FF2B5EF4-FFF2-40B4-BE49-F238E27FC236}">
              <a16:creationId xmlns:a16="http://schemas.microsoft.com/office/drawing/2014/main" id="{00000000-0008-0000-0B00-000091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316</xdr:row>
      <xdr:rowOff>0</xdr:rowOff>
    </xdr:from>
    <xdr:ext cx="76200" cy="206375"/>
    <xdr:sp macro="" textlink="">
      <xdr:nvSpPr>
        <xdr:cNvPr id="402" name="Text Box 42">
          <a:extLst>
            <a:ext uri="{FF2B5EF4-FFF2-40B4-BE49-F238E27FC236}">
              <a16:creationId xmlns:a16="http://schemas.microsoft.com/office/drawing/2014/main" id="{00000000-0008-0000-0B00-000092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316</xdr:row>
      <xdr:rowOff>0</xdr:rowOff>
    </xdr:from>
    <xdr:ext cx="76200" cy="206375"/>
    <xdr:sp macro="" textlink="">
      <xdr:nvSpPr>
        <xdr:cNvPr id="403" name="Text Box 43">
          <a:extLst>
            <a:ext uri="{FF2B5EF4-FFF2-40B4-BE49-F238E27FC236}">
              <a16:creationId xmlns:a16="http://schemas.microsoft.com/office/drawing/2014/main" id="{00000000-0008-0000-0B00-000093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317</xdr:row>
      <xdr:rowOff>0</xdr:rowOff>
    </xdr:from>
    <xdr:ext cx="76200" cy="206375"/>
    <xdr:sp macro="" textlink="">
      <xdr:nvSpPr>
        <xdr:cNvPr id="404" name="Text Box 42">
          <a:extLst>
            <a:ext uri="{FF2B5EF4-FFF2-40B4-BE49-F238E27FC236}">
              <a16:creationId xmlns:a16="http://schemas.microsoft.com/office/drawing/2014/main" id="{00000000-0008-0000-0B00-000094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317</xdr:row>
      <xdr:rowOff>0</xdr:rowOff>
    </xdr:from>
    <xdr:ext cx="76200" cy="206375"/>
    <xdr:sp macro="" textlink="">
      <xdr:nvSpPr>
        <xdr:cNvPr id="405" name="Text Box 43">
          <a:extLst>
            <a:ext uri="{FF2B5EF4-FFF2-40B4-BE49-F238E27FC236}">
              <a16:creationId xmlns:a16="http://schemas.microsoft.com/office/drawing/2014/main" id="{00000000-0008-0000-0B00-000095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318</xdr:row>
      <xdr:rowOff>0</xdr:rowOff>
    </xdr:from>
    <xdr:ext cx="76200" cy="206375"/>
    <xdr:sp macro="" textlink="">
      <xdr:nvSpPr>
        <xdr:cNvPr id="406" name="Text Box 42">
          <a:extLst>
            <a:ext uri="{FF2B5EF4-FFF2-40B4-BE49-F238E27FC236}">
              <a16:creationId xmlns:a16="http://schemas.microsoft.com/office/drawing/2014/main" id="{00000000-0008-0000-0B00-000096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318</xdr:row>
      <xdr:rowOff>0</xdr:rowOff>
    </xdr:from>
    <xdr:ext cx="76200" cy="206375"/>
    <xdr:sp macro="" textlink="">
      <xdr:nvSpPr>
        <xdr:cNvPr id="407" name="Text Box 43">
          <a:extLst>
            <a:ext uri="{FF2B5EF4-FFF2-40B4-BE49-F238E27FC236}">
              <a16:creationId xmlns:a16="http://schemas.microsoft.com/office/drawing/2014/main" id="{00000000-0008-0000-0B00-000097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319</xdr:row>
      <xdr:rowOff>0</xdr:rowOff>
    </xdr:from>
    <xdr:ext cx="76200" cy="206375"/>
    <xdr:sp macro="" textlink="">
      <xdr:nvSpPr>
        <xdr:cNvPr id="408" name="Text Box 42">
          <a:extLst>
            <a:ext uri="{FF2B5EF4-FFF2-40B4-BE49-F238E27FC236}">
              <a16:creationId xmlns:a16="http://schemas.microsoft.com/office/drawing/2014/main" id="{00000000-0008-0000-0B00-000098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319</xdr:row>
      <xdr:rowOff>0</xdr:rowOff>
    </xdr:from>
    <xdr:ext cx="76200" cy="206375"/>
    <xdr:sp macro="" textlink="">
      <xdr:nvSpPr>
        <xdr:cNvPr id="409" name="Text Box 43">
          <a:extLst>
            <a:ext uri="{FF2B5EF4-FFF2-40B4-BE49-F238E27FC236}">
              <a16:creationId xmlns:a16="http://schemas.microsoft.com/office/drawing/2014/main" id="{00000000-0008-0000-0B00-000099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320</xdr:row>
      <xdr:rowOff>0</xdr:rowOff>
    </xdr:from>
    <xdr:ext cx="76200" cy="206375"/>
    <xdr:sp macro="" textlink="">
      <xdr:nvSpPr>
        <xdr:cNvPr id="410" name="Text Box 42">
          <a:extLst>
            <a:ext uri="{FF2B5EF4-FFF2-40B4-BE49-F238E27FC236}">
              <a16:creationId xmlns:a16="http://schemas.microsoft.com/office/drawing/2014/main" id="{00000000-0008-0000-0B00-00009A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320</xdr:row>
      <xdr:rowOff>0</xdr:rowOff>
    </xdr:from>
    <xdr:ext cx="76200" cy="206375"/>
    <xdr:sp macro="" textlink="">
      <xdr:nvSpPr>
        <xdr:cNvPr id="411" name="Text Box 43">
          <a:extLst>
            <a:ext uri="{FF2B5EF4-FFF2-40B4-BE49-F238E27FC236}">
              <a16:creationId xmlns:a16="http://schemas.microsoft.com/office/drawing/2014/main" id="{00000000-0008-0000-0B00-00009B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321</xdr:row>
      <xdr:rowOff>0</xdr:rowOff>
    </xdr:from>
    <xdr:ext cx="76200" cy="206375"/>
    <xdr:sp macro="" textlink="">
      <xdr:nvSpPr>
        <xdr:cNvPr id="412" name="Text Box 42">
          <a:extLst>
            <a:ext uri="{FF2B5EF4-FFF2-40B4-BE49-F238E27FC236}">
              <a16:creationId xmlns:a16="http://schemas.microsoft.com/office/drawing/2014/main" id="{00000000-0008-0000-0B00-00009C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321</xdr:row>
      <xdr:rowOff>0</xdr:rowOff>
    </xdr:from>
    <xdr:ext cx="76200" cy="206375"/>
    <xdr:sp macro="" textlink="">
      <xdr:nvSpPr>
        <xdr:cNvPr id="413" name="Text Box 43">
          <a:extLst>
            <a:ext uri="{FF2B5EF4-FFF2-40B4-BE49-F238E27FC236}">
              <a16:creationId xmlns:a16="http://schemas.microsoft.com/office/drawing/2014/main" id="{00000000-0008-0000-0B00-00009D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322</xdr:row>
      <xdr:rowOff>0</xdr:rowOff>
    </xdr:from>
    <xdr:ext cx="76200" cy="206375"/>
    <xdr:sp macro="" textlink="">
      <xdr:nvSpPr>
        <xdr:cNvPr id="414" name="Text Box 42">
          <a:extLst>
            <a:ext uri="{FF2B5EF4-FFF2-40B4-BE49-F238E27FC236}">
              <a16:creationId xmlns:a16="http://schemas.microsoft.com/office/drawing/2014/main" id="{00000000-0008-0000-0B00-00009E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322</xdr:row>
      <xdr:rowOff>0</xdr:rowOff>
    </xdr:from>
    <xdr:ext cx="76200" cy="206375"/>
    <xdr:sp macro="" textlink="">
      <xdr:nvSpPr>
        <xdr:cNvPr id="415" name="Text Box 43">
          <a:extLst>
            <a:ext uri="{FF2B5EF4-FFF2-40B4-BE49-F238E27FC236}">
              <a16:creationId xmlns:a16="http://schemas.microsoft.com/office/drawing/2014/main" id="{00000000-0008-0000-0B00-00009F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323</xdr:row>
      <xdr:rowOff>0</xdr:rowOff>
    </xdr:from>
    <xdr:ext cx="76200" cy="206375"/>
    <xdr:sp macro="" textlink="">
      <xdr:nvSpPr>
        <xdr:cNvPr id="416" name="Text Box 42">
          <a:extLst>
            <a:ext uri="{FF2B5EF4-FFF2-40B4-BE49-F238E27FC236}">
              <a16:creationId xmlns:a16="http://schemas.microsoft.com/office/drawing/2014/main" id="{00000000-0008-0000-0B00-0000A0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323</xdr:row>
      <xdr:rowOff>0</xdr:rowOff>
    </xdr:from>
    <xdr:ext cx="76200" cy="206375"/>
    <xdr:sp macro="" textlink="">
      <xdr:nvSpPr>
        <xdr:cNvPr id="417" name="Text Box 43">
          <a:extLst>
            <a:ext uri="{FF2B5EF4-FFF2-40B4-BE49-F238E27FC236}">
              <a16:creationId xmlns:a16="http://schemas.microsoft.com/office/drawing/2014/main" id="{00000000-0008-0000-0B00-0000A1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324</xdr:row>
      <xdr:rowOff>0</xdr:rowOff>
    </xdr:from>
    <xdr:ext cx="76200" cy="206375"/>
    <xdr:sp macro="" textlink="">
      <xdr:nvSpPr>
        <xdr:cNvPr id="418" name="Text Box 42">
          <a:extLst>
            <a:ext uri="{FF2B5EF4-FFF2-40B4-BE49-F238E27FC236}">
              <a16:creationId xmlns:a16="http://schemas.microsoft.com/office/drawing/2014/main" id="{00000000-0008-0000-0B00-0000A2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324</xdr:row>
      <xdr:rowOff>0</xdr:rowOff>
    </xdr:from>
    <xdr:ext cx="76200" cy="206375"/>
    <xdr:sp macro="" textlink="">
      <xdr:nvSpPr>
        <xdr:cNvPr id="419" name="Text Box 43">
          <a:extLst>
            <a:ext uri="{FF2B5EF4-FFF2-40B4-BE49-F238E27FC236}">
              <a16:creationId xmlns:a16="http://schemas.microsoft.com/office/drawing/2014/main" id="{00000000-0008-0000-0B00-0000A3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325</xdr:row>
      <xdr:rowOff>0</xdr:rowOff>
    </xdr:from>
    <xdr:ext cx="76200" cy="206375"/>
    <xdr:sp macro="" textlink="">
      <xdr:nvSpPr>
        <xdr:cNvPr id="420" name="Text Box 42">
          <a:extLst>
            <a:ext uri="{FF2B5EF4-FFF2-40B4-BE49-F238E27FC236}">
              <a16:creationId xmlns:a16="http://schemas.microsoft.com/office/drawing/2014/main" id="{00000000-0008-0000-0B00-0000A4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325</xdr:row>
      <xdr:rowOff>0</xdr:rowOff>
    </xdr:from>
    <xdr:ext cx="76200" cy="206375"/>
    <xdr:sp macro="" textlink="">
      <xdr:nvSpPr>
        <xdr:cNvPr id="421" name="Text Box 43">
          <a:extLst>
            <a:ext uri="{FF2B5EF4-FFF2-40B4-BE49-F238E27FC236}">
              <a16:creationId xmlns:a16="http://schemas.microsoft.com/office/drawing/2014/main" id="{00000000-0008-0000-0B00-0000A5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326</xdr:row>
      <xdr:rowOff>0</xdr:rowOff>
    </xdr:from>
    <xdr:ext cx="76200" cy="206375"/>
    <xdr:sp macro="" textlink="">
      <xdr:nvSpPr>
        <xdr:cNvPr id="422" name="Text Box 42">
          <a:extLst>
            <a:ext uri="{FF2B5EF4-FFF2-40B4-BE49-F238E27FC236}">
              <a16:creationId xmlns:a16="http://schemas.microsoft.com/office/drawing/2014/main" id="{00000000-0008-0000-0B00-0000A6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326</xdr:row>
      <xdr:rowOff>0</xdr:rowOff>
    </xdr:from>
    <xdr:ext cx="76200" cy="206375"/>
    <xdr:sp macro="" textlink="">
      <xdr:nvSpPr>
        <xdr:cNvPr id="423" name="Text Box 43">
          <a:extLst>
            <a:ext uri="{FF2B5EF4-FFF2-40B4-BE49-F238E27FC236}">
              <a16:creationId xmlns:a16="http://schemas.microsoft.com/office/drawing/2014/main" id="{00000000-0008-0000-0B00-0000A7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327</xdr:row>
      <xdr:rowOff>0</xdr:rowOff>
    </xdr:from>
    <xdr:ext cx="76200" cy="206375"/>
    <xdr:sp macro="" textlink="">
      <xdr:nvSpPr>
        <xdr:cNvPr id="424" name="Text Box 42">
          <a:extLst>
            <a:ext uri="{FF2B5EF4-FFF2-40B4-BE49-F238E27FC236}">
              <a16:creationId xmlns:a16="http://schemas.microsoft.com/office/drawing/2014/main" id="{00000000-0008-0000-0B00-0000A8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327</xdr:row>
      <xdr:rowOff>0</xdr:rowOff>
    </xdr:from>
    <xdr:ext cx="76200" cy="206375"/>
    <xdr:sp macro="" textlink="">
      <xdr:nvSpPr>
        <xdr:cNvPr id="425" name="Text Box 43">
          <a:extLst>
            <a:ext uri="{FF2B5EF4-FFF2-40B4-BE49-F238E27FC236}">
              <a16:creationId xmlns:a16="http://schemas.microsoft.com/office/drawing/2014/main" id="{00000000-0008-0000-0B00-0000A9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328</xdr:row>
      <xdr:rowOff>0</xdr:rowOff>
    </xdr:from>
    <xdr:ext cx="76200" cy="206375"/>
    <xdr:sp macro="" textlink="">
      <xdr:nvSpPr>
        <xdr:cNvPr id="426" name="Text Box 42">
          <a:extLst>
            <a:ext uri="{FF2B5EF4-FFF2-40B4-BE49-F238E27FC236}">
              <a16:creationId xmlns:a16="http://schemas.microsoft.com/office/drawing/2014/main" id="{00000000-0008-0000-0B00-0000AA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328</xdr:row>
      <xdr:rowOff>0</xdr:rowOff>
    </xdr:from>
    <xdr:ext cx="76200" cy="206375"/>
    <xdr:sp macro="" textlink="">
      <xdr:nvSpPr>
        <xdr:cNvPr id="427" name="Text Box 43">
          <a:extLst>
            <a:ext uri="{FF2B5EF4-FFF2-40B4-BE49-F238E27FC236}">
              <a16:creationId xmlns:a16="http://schemas.microsoft.com/office/drawing/2014/main" id="{00000000-0008-0000-0B00-0000AB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329</xdr:row>
      <xdr:rowOff>0</xdr:rowOff>
    </xdr:from>
    <xdr:ext cx="76200" cy="206375"/>
    <xdr:sp macro="" textlink="">
      <xdr:nvSpPr>
        <xdr:cNvPr id="428" name="Text Box 42">
          <a:extLst>
            <a:ext uri="{FF2B5EF4-FFF2-40B4-BE49-F238E27FC236}">
              <a16:creationId xmlns:a16="http://schemas.microsoft.com/office/drawing/2014/main" id="{00000000-0008-0000-0B00-0000AC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329</xdr:row>
      <xdr:rowOff>0</xdr:rowOff>
    </xdr:from>
    <xdr:ext cx="76200" cy="206375"/>
    <xdr:sp macro="" textlink="">
      <xdr:nvSpPr>
        <xdr:cNvPr id="429" name="Text Box 43">
          <a:extLst>
            <a:ext uri="{FF2B5EF4-FFF2-40B4-BE49-F238E27FC236}">
              <a16:creationId xmlns:a16="http://schemas.microsoft.com/office/drawing/2014/main" id="{00000000-0008-0000-0B00-0000AD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330</xdr:row>
      <xdr:rowOff>0</xdr:rowOff>
    </xdr:from>
    <xdr:ext cx="76200" cy="206375"/>
    <xdr:sp macro="" textlink="">
      <xdr:nvSpPr>
        <xdr:cNvPr id="430" name="Text Box 42">
          <a:extLst>
            <a:ext uri="{FF2B5EF4-FFF2-40B4-BE49-F238E27FC236}">
              <a16:creationId xmlns:a16="http://schemas.microsoft.com/office/drawing/2014/main" id="{00000000-0008-0000-0B00-0000AE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330</xdr:row>
      <xdr:rowOff>0</xdr:rowOff>
    </xdr:from>
    <xdr:ext cx="76200" cy="206375"/>
    <xdr:sp macro="" textlink="">
      <xdr:nvSpPr>
        <xdr:cNvPr id="431" name="Text Box 43">
          <a:extLst>
            <a:ext uri="{FF2B5EF4-FFF2-40B4-BE49-F238E27FC236}">
              <a16:creationId xmlns:a16="http://schemas.microsoft.com/office/drawing/2014/main" id="{00000000-0008-0000-0B00-0000AF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331</xdr:row>
      <xdr:rowOff>0</xdr:rowOff>
    </xdr:from>
    <xdr:ext cx="76200" cy="206375"/>
    <xdr:sp macro="" textlink="">
      <xdr:nvSpPr>
        <xdr:cNvPr id="432" name="Text Box 42">
          <a:extLst>
            <a:ext uri="{FF2B5EF4-FFF2-40B4-BE49-F238E27FC236}">
              <a16:creationId xmlns:a16="http://schemas.microsoft.com/office/drawing/2014/main" id="{00000000-0008-0000-0B00-0000B0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331</xdr:row>
      <xdr:rowOff>0</xdr:rowOff>
    </xdr:from>
    <xdr:ext cx="76200" cy="206375"/>
    <xdr:sp macro="" textlink="">
      <xdr:nvSpPr>
        <xdr:cNvPr id="433" name="Text Box 43">
          <a:extLst>
            <a:ext uri="{FF2B5EF4-FFF2-40B4-BE49-F238E27FC236}">
              <a16:creationId xmlns:a16="http://schemas.microsoft.com/office/drawing/2014/main" id="{00000000-0008-0000-0B00-0000B1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332</xdr:row>
      <xdr:rowOff>0</xdr:rowOff>
    </xdr:from>
    <xdr:ext cx="76200" cy="206375"/>
    <xdr:sp macro="" textlink="">
      <xdr:nvSpPr>
        <xdr:cNvPr id="434" name="Text Box 42">
          <a:extLst>
            <a:ext uri="{FF2B5EF4-FFF2-40B4-BE49-F238E27FC236}">
              <a16:creationId xmlns:a16="http://schemas.microsoft.com/office/drawing/2014/main" id="{00000000-0008-0000-0B00-0000B2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332</xdr:row>
      <xdr:rowOff>0</xdr:rowOff>
    </xdr:from>
    <xdr:ext cx="76200" cy="206375"/>
    <xdr:sp macro="" textlink="">
      <xdr:nvSpPr>
        <xdr:cNvPr id="435" name="Text Box 43">
          <a:extLst>
            <a:ext uri="{FF2B5EF4-FFF2-40B4-BE49-F238E27FC236}">
              <a16:creationId xmlns:a16="http://schemas.microsoft.com/office/drawing/2014/main" id="{00000000-0008-0000-0B00-0000B3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333</xdr:row>
      <xdr:rowOff>0</xdr:rowOff>
    </xdr:from>
    <xdr:ext cx="76200" cy="206375"/>
    <xdr:sp macro="" textlink="">
      <xdr:nvSpPr>
        <xdr:cNvPr id="436" name="Text Box 42">
          <a:extLst>
            <a:ext uri="{FF2B5EF4-FFF2-40B4-BE49-F238E27FC236}">
              <a16:creationId xmlns:a16="http://schemas.microsoft.com/office/drawing/2014/main" id="{00000000-0008-0000-0B00-0000B4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333</xdr:row>
      <xdr:rowOff>0</xdr:rowOff>
    </xdr:from>
    <xdr:ext cx="76200" cy="206375"/>
    <xdr:sp macro="" textlink="">
      <xdr:nvSpPr>
        <xdr:cNvPr id="437" name="Text Box 43">
          <a:extLst>
            <a:ext uri="{FF2B5EF4-FFF2-40B4-BE49-F238E27FC236}">
              <a16:creationId xmlns:a16="http://schemas.microsoft.com/office/drawing/2014/main" id="{00000000-0008-0000-0B00-0000B5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334</xdr:row>
      <xdr:rowOff>0</xdr:rowOff>
    </xdr:from>
    <xdr:ext cx="76200" cy="206375"/>
    <xdr:sp macro="" textlink="">
      <xdr:nvSpPr>
        <xdr:cNvPr id="438" name="Text Box 42">
          <a:extLst>
            <a:ext uri="{FF2B5EF4-FFF2-40B4-BE49-F238E27FC236}">
              <a16:creationId xmlns:a16="http://schemas.microsoft.com/office/drawing/2014/main" id="{00000000-0008-0000-0B00-0000B6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334</xdr:row>
      <xdr:rowOff>0</xdr:rowOff>
    </xdr:from>
    <xdr:ext cx="76200" cy="206375"/>
    <xdr:sp macro="" textlink="">
      <xdr:nvSpPr>
        <xdr:cNvPr id="439" name="Text Box 43">
          <a:extLst>
            <a:ext uri="{FF2B5EF4-FFF2-40B4-BE49-F238E27FC236}">
              <a16:creationId xmlns:a16="http://schemas.microsoft.com/office/drawing/2014/main" id="{00000000-0008-0000-0B00-0000B7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335</xdr:row>
      <xdr:rowOff>0</xdr:rowOff>
    </xdr:from>
    <xdr:ext cx="76200" cy="206375"/>
    <xdr:sp macro="" textlink="">
      <xdr:nvSpPr>
        <xdr:cNvPr id="440" name="Text Box 42">
          <a:extLst>
            <a:ext uri="{FF2B5EF4-FFF2-40B4-BE49-F238E27FC236}">
              <a16:creationId xmlns:a16="http://schemas.microsoft.com/office/drawing/2014/main" id="{00000000-0008-0000-0B00-0000B8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335</xdr:row>
      <xdr:rowOff>0</xdr:rowOff>
    </xdr:from>
    <xdr:ext cx="76200" cy="206375"/>
    <xdr:sp macro="" textlink="">
      <xdr:nvSpPr>
        <xdr:cNvPr id="441" name="Text Box 43">
          <a:extLst>
            <a:ext uri="{FF2B5EF4-FFF2-40B4-BE49-F238E27FC236}">
              <a16:creationId xmlns:a16="http://schemas.microsoft.com/office/drawing/2014/main" id="{00000000-0008-0000-0B00-0000B9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336</xdr:row>
      <xdr:rowOff>0</xdr:rowOff>
    </xdr:from>
    <xdr:ext cx="76200" cy="206375"/>
    <xdr:sp macro="" textlink="">
      <xdr:nvSpPr>
        <xdr:cNvPr id="442" name="Text Box 42">
          <a:extLst>
            <a:ext uri="{FF2B5EF4-FFF2-40B4-BE49-F238E27FC236}">
              <a16:creationId xmlns:a16="http://schemas.microsoft.com/office/drawing/2014/main" id="{00000000-0008-0000-0B00-0000BA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336</xdr:row>
      <xdr:rowOff>0</xdr:rowOff>
    </xdr:from>
    <xdr:ext cx="76200" cy="206375"/>
    <xdr:sp macro="" textlink="">
      <xdr:nvSpPr>
        <xdr:cNvPr id="443" name="Text Box 43">
          <a:extLst>
            <a:ext uri="{FF2B5EF4-FFF2-40B4-BE49-F238E27FC236}">
              <a16:creationId xmlns:a16="http://schemas.microsoft.com/office/drawing/2014/main" id="{00000000-0008-0000-0B00-0000BB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337</xdr:row>
      <xdr:rowOff>0</xdr:rowOff>
    </xdr:from>
    <xdr:ext cx="76200" cy="206375"/>
    <xdr:sp macro="" textlink="">
      <xdr:nvSpPr>
        <xdr:cNvPr id="444" name="Text Box 42">
          <a:extLst>
            <a:ext uri="{FF2B5EF4-FFF2-40B4-BE49-F238E27FC236}">
              <a16:creationId xmlns:a16="http://schemas.microsoft.com/office/drawing/2014/main" id="{00000000-0008-0000-0B00-0000BC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337</xdr:row>
      <xdr:rowOff>0</xdr:rowOff>
    </xdr:from>
    <xdr:ext cx="76200" cy="206375"/>
    <xdr:sp macro="" textlink="">
      <xdr:nvSpPr>
        <xdr:cNvPr id="445" name="Text Box 43">
          <a:extLst>
            <a:ext uri="{FF2B5EF4-FFF2-40B4-BE49-F238E27FC236}">
              <a16:creationId xmlns:a16="http://schemas.microsoft.com/office/drawing/2014/main" id="{00000000-0008-0000-0B00-0000BD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338</xdr:row>
      <xdr:rowOff>0</xdr:rowOff>
    </xdr:from>
    <xdr:ext cx="76200" cy="206375"/>
    <xdr:sp macro="" textlink="">
      <xdr:nvSpPr>
        <xdr:cNvPr id="446" name="Text Box 42">
          <a:extLst>
            <a:ext uri="{FF2B5EF4-FFF2-40B4-BE49-F238E27FC236}">
              <a16:creationId xmlns:a16="http://schemas.microsoft.com/office/drawing/2014/main" id="{00000000-0008-0000-0B00-0000BE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338</xdr:row>
      <xdr:rowOff>0</xdr:rowOff>
    </xdr:from>
    <xdr:ext cx="76200" cy="206375"/>
    <xdr:sp macro="" textlink="">
      <xdr:nvSpPr>
        <xdr:cNvPr id="447" name="Text Box 43">
          <a:extLst>
            <a:ext uri="{FF2B5EF4-FFF2-40B4-BE49-F238E27FC236}">
              <a16:creationId xmlns:a16="http://schemas.microsoft.com/office/drawing/2014/main" id="{00000000-0008-0000-0B00-0000BF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339</xdr:row>
      <xdr:rowOff>0</xdr:rowOff>
    </xdr:from>
    <xdr:ext cx="76200" cy="206375"/>
    <xdr:sp macro="" textlink="">
      <xdr:nvSpPr>
        <xdr:cNvPr id="448" name="Text Box 42">
          <a:extLst>
            <a:ext uri="{FF2B5EF4-FFF2-40B4-BE49-F238E27FC236}">
              <a16:creationId xmlns:a16="http://schemas.microsoft.com/office/drawing/2014/main" id="{00000000-0008-0000-0B00-0000C0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339</xdr:row>
      <xdr:rowOff>0</xdr:rowOff>
    </xdr:from>
    <xdr:ext cx="76200" cy="206375"/>
    <xdr:sp macro="" textlink="">
      <xdr:nvSpPr>
        <xdr:cNvPr id="449" name="Text Box 43">
          <a:extLst>
            <a:ext uri="{FF2B5EF4-FFF2-40B4-BE49-F238E27FC236}">
              <a16:creationId xmlns:a16="http://schemas.microsoft.com/office/drawing/2014/main" id="{00000000-0008-0000-0B00-0000C1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340</xdr:row>
      <xdr:rowOff>0</xdr:rowOff>
    </xdr:from>
    <xdr:ext cx="76200" cy="206375"/>
    <xdr:sp macro="" textlink="">
      <xdr:nvSpPr>
        <xdr:cNvPr id="450" name="Text Box 42">
          <a:extLst>
            <a:ext uri="{FF2B5EF4-FFF2-40B4-BE49-F238E27FC236}">
              <a16:creationId xmlns:a16="http://schemas.microsoft.com/office/drawing/2014/main" id="{00000000-0008-0000-0B00-0000C2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340</xdr:row>
      <xdr:rowOff>0</xdr:rowOff>
    </xdr:from>
    <xdr:ext cx="76200" cy="206375"/>
    <xdr:sp macro="" textlink="">
      <xdr:nvSpPr>
        <xdr:cNvPr id="451" name="Text Box 43">
          <a:extLst>
            <a:ext uri="{FF2B5EF4-FFF2-40B4-BE49-F238E27FC236}">
              <a16:creationId xmlns:a16="http://schemas.microsoft.com/office/drawing/2014/main" id="{00000000-0008-0000-0B00-0000C3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341</xdr:row>
      <xdr:rowOff>0</xdr:rowOff>
    </xdr:from>
    <xdr:ext cx="76200" cy="206375"/>
    <xdr:sp macro="" textlink="">
      <xdr:nvSpPr>
        <xdr:cNvPr id="452" name="Text Box 42">
          <a:extLst>
            <a:ext uri="{FF2B5EF4-FFF2-40B4-BE49-F238E27FC236}">
              <a16:creationId xmlns:a16="http://schemas.microsoft.com/office/drawing/2014/main" id="{00000000-0008-0000-0B00-0000C4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oneCellAnchor>
    <xdr:from>
      <xdr:col>4</xdr:col>
      <xdr:colOff>0</xdr:colOff>
      <xdr:row>341</xdr:row>
      <xdr:rowOff>0</xdr:rowOff>
    </xdr:from>
    <xdr:ext cx="76200" cy="206375"/>
    <xdr:sp macro="" textlink="">
      <xdr:nvSpPr>
        <xdr:cNvPr id="453" name="Text Box 43">
          <a:extLst>
            <a:ext uri="{FF2B5EF4-FFF2-40B4-BE49-F238E27FC236}">
              <a16:creationId xmlns:a16="http://schemas.microsoft.com/office/drawing/2014/main" id="{00000000-0008-0000-0B00-0000C5010000}"/>
            </a:ext>
          </a:extLst>
        </xdr:cNvPr>
        <xdr:cNvSpPr txBox="1">
          <a:spLocks noChangeArrowheads="1"/>
        </xdr:cNvSpPr>
      </xdr:nvSpPr>
      <xdr:spPr bwMode="auto">
        <a:xfrm>
          <a:off x="2926953" y="30480000"/>
          <a:ext cx="76200" cy="206375"/>
        </a:xfrm>
        <a:prstGeom prst="rect">
          <a:avLst/>
        </a:prstGeom>
        <a:noFill/>
        <a:ln w="9525">
          <a:noFill/>
          <a:miter lim="800000"/>
          <a:headEnd/>
          <a:tailEnd/>
        </a:ln>
      </xdr:spPr>
    </xdr:sp>
    <xdr:clientData/>
  </xdr:oneCellAnchor>
</xdr:wsDr>
</file>

<file path=xl/drawings/drawing6.xml><?xml version="1.0" encoding="utf-8"?>
<xdr:wsDr xmlns:xdr="http://schemas.openxmlformats.org/drawingml/2006/spreadsheetDrawing" xmlns:a="http://schemas.openxmlformats.org/drawingml/2006/main">
  <xdr:oneCellAnchor>
    <xdr:from>
      <xdr:col>4</xdr:col>
      <xdr:colOff>0</xdr:colOff>
      <xdr:row>16</xdr:row>
      <xdr:rowOff>0</xdr:rowOff>
    </xdr:from>
    <xdr:ext cx="76200" cy="206375"/>
    <xdr:sp macro="" textlink="">
      <xdr:nvSpPr>
        <xdr:cNvPr id="27649" name="Text Box 1">
          <a:extLst>
            <a:ext uri="{FF2B5EF4-FFF2-40B4-BE49-F238E27FC236}">
              <a16:creationId xmlns:a16="http://schemas.microsoft.com/office/drawing/2014/main" id="{00000000-0008-0000-0C00-0000016C0000}"/>
            </a:ext>
          </a:extLst>
        </xdr:cNvPr>
        <xdr:cNvSpPr txBox="1">
          <a:spLocks noChangeArrowheads="1"/>
        </xdr:cNvSpPr>
      </xdr:nvSpPr>
      <xdr:spPr bwMode="auto">
        <a:xfrm>
          <a:off x="2924175" y="2590800"/>
          <a:ext cx="76200" cy="209550"/>
        </a:xfrm>
        <a:prstGeom prst="rect">
          <a:avLst/>
        </a:prstGeom>
        <a:noFill/>
        <a:ln w="9525">
          <a:noFill/>
          <a:miter lim="800000"/>
          <a:headEnd/>
          <a:tailEnd/>
        </a:ln>
      </xdr:spPr>
    </xdr:sp>
    <xdr:clientData/>
  </xdr:oneCellAnchor>
  <xdr:oneCellAnchor>
    <xdr:from>
      <xdr:col>4</xdr:col>
      <xdr:colOff>0</xdr:colOff>
      <xdr:row>66</xdr:row>
      <xdr:rowOff>0</xdr:rowOff>
    </xdr:from>
    <xdr:ext cx="76200" cy="206375"/>
    <xdr:sp macro="" textlink="">
      <xdr:nvSpPr>
        <xdr:cNvPr id="27650" name="Text Box 2">
          <a:extLst>
            <a:ext uri="{FF2B5EF4-FFF2-40B4-BE49-F238E27FC236}">
              <a16:creationId xmlns:a16="http://schemas.microsoft.com/office/drawing/2014/main" id="{00000000-0008-0000-0C00-0000026C0000}"/>
            </a:ext>
          </a:extLst>
        </xdr:cNvPr>
        <xdr:cNvSpPr txBox="1">
          <a:spLocks noChangeArrowheads="1"/>
        </xdr:cNvSpPr>
      </xdr:nvSpPr>
      <xdr:spPr bwMode="auto">
        <a:xfrm>
          <a:off x="2924175" y="10687050"/>
          <a:ext cx="76200" cy="209550"/>
        </a:xfrm>
        <a:prstGeom prst="rect">
          <a:avLst/>
        </a:prstGeom>
        <a:noFill/>
        <a:ln w="9525">
          <a:noFill/>
          <a:miter lim="800000"/>
          <a:headEnd/>
          <a:tailEnd/>
        </a:ln>
      </xdr:spPr>
    </xdr:sp>
    <xdr:clientData/>
  </xdr:oneCellAnchor>
  <xdr:oneCellAnchor>
    <xdr:from>
      <xdr:col>4</xdr:col>
      <xdr:colOff>0</xdr:colOff>
      <xdr:row>180</xdr:row>
      <xdr:rowOff>0</xdr:rowOff>
    </xdr:from>
    <xdr:ext cx="76200" cy="206375"/>
    <xdr:sp macro="" textlink="">
      <xdr:nvSpPr>
        <xdr:cNvPr id="27651" name="Text Box 3">
          <a:extLst>
            <a:ext uri="{FF2B5EF4-FFF2-40B4-BE49-F238E27FC236}">
              <a16:creationId xmlns:a16="http://schemas.microsoft.com/office/drawing/2014/main" id="{00000000-0008-0000-0C00-0000036C0000}"/>
            </a:ext>
          </a:extLst>
        </xdr:cNvPr>
        <xdr:cNvSpPr txBox="1">
          <a:spLocks noChangeArrowheads="1"/>
        </xdr:cNvSpPr>
      </xdr:nvSpPr>
      <xdr:spPr bwMode="auto">
        <a:xfrm>
          <a:off x="2924175" y="29146500"/>
          <a:ext cx="76200" cy="209550"/>
        </a:xfrm>
        <a:prstGeom prst="rect">
          <a:avLst/>
        </a:prstGeom>
        <a:noFill/>
        <a:ln w="9525">
          <a:noFill/>
          <a:miter lim="800000"/>
          <a:headEnd/>
          <a:tailEnd/>
        </a:ln>
      </xdr:spPr>
    </xdr:sp>
    <xdr:clientData/>
  </xdr:oneCellAnchor>
  <xdr:oneCellAnchor>
    <xdr:from>
      <xdr:col>4</xdr:col>
      <xdr:colOff>0</xdr:colOff>
      <xdr:row>92</xdr:row>
      <xdr:rowOff>0</xdr:rowOff>
    </xdr:from>
    <xdr:ext cx="76200" cy="206375"/>
    <xdr:sp macro="" textlink="">
      <xdr:nvSpPr>
        <xdr:cNvPr id="27652" name="Text Box 4">
          <a:extLst>
            <a:ext uri="{FF2B5EF4-FFF2-40B4-BE49-F238E27FC236}">
              <a16:creationId xmlns:a16="http://schemas.microsoft.com/office/drawing/2014/main" id="{00000000-0008-0000-0C00-0000046C0000}"/>
            </a:ext>
          </a:extLst>
        </xdr:cNvPr>
        <xdr:cNvSpPr txBox="1">
          <a:spLocks noChangeArrowheads="1"/>
        </xdr:cNvSpPr>
      </xdr:nvSpPr>
      <xdr:spPr bwMode="auto">
        <a:xfrm>
          <a:off x="2924175" y="14897100"/>
          <a:ext cx="76200" cy="209550"/>
        </a:xfrm>
        <a:prstGeom prst="rect">
          <a:avLst/>
        </a:prstGeom>
        <a:noFill/>
        <a:ln w="9525">
          <a:noFill/>
          <a:miter lim="800000"/>
          <a:headEnd/>
          <a:tailEnd/>
        </a:ln>
      </xdr:spPr>
    </xdr:sp>
    <xdr:clientData/>
  </xdr:oneCellAnchor>
  <xdr:oneCellAnchor>
    <xdr:from>
      <xdr:col>4</xdr:col>
      <xdr:colOff>0</xdr:colOff>
      <xdr:row>92</xdr:row>
      <xdr:rowOff>0</xdr:rowOff>
    </xdr:from>
    <xdr:ext cx="76200" cy="206375"/>
    <xdr:sp macro="" textlink="">
      <xdr:nvSpPr>
        <xdr:cNvPr id="27653" name="Text Box 5">
          <a:extLst>
            <a:ext uri="{FF2B5EF4-FFF2-40B4-BE49-F238E27FC236}">
              <a16:creationId xmlns:a16="http://schemas.microsoft.com/office/drawing/2014/main" id="{00000000-0008-0000-0C00-0000056C0000}"/>
            </a:ext>
          </a:extLst>
        </xdr:cNvPr>
        <xdr:cNvSpPr txBox="1">
          <a:spLocks noChangeArrowheads="1"/>
        </xdr:cNvSpPr>
      </xdr:nvSpPr>
      <xdr:spPr bwMode="auto">
        <a:xfrm>
          <a:off x="2924175" y="14897100"/>
          <a:ext cx="76200" cy="209550"/>
        </a:xfrm>
        <a:prstGeom prst="rect">
          <a:avLst/>
        </a:prstGeom>
        <a:noFill/>
        <a:ln w="9525">
          <a:noFill/>
          <a:miter lim="800000"/>
          <a:headEnd/>
          <a:tailEnd/>
        </a:ln>
      </xdr:spPr>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300D2-1641-43A2-89F4-24E351667565}">
  <sheetPr>
    <pageSetUpPr fitToPage="1"/>
  </sheetPr>
  <dimension ref="A1:BN33"/>
  <sheetViews>
    <sheetView tabSelected="1" workbookViewId="0">
      <selection activeCell="A3" sqref="A3:BN14"/>
    </sheetView>
  </sheetViews>
  <sheetFormatPr defaultRowHeight="13.2" x14ac:dyDescent="0.25"/>
  <cols>
    <col min="1" max="251" width="3.33203125" customWidth="1"/>
  </cols>
  <sheetData>
    <row r="1" spans="1:66" ht="20.399999999999999" x14ac:dyDescent="0.35">
      <c r="A1" s="689" t="s">
        <v>429</v>
      </c>
    </row>
    <row r="3" spans="1:66" ht="13.2" customHeight="1" x14ac:dyDescent="0.25">
      <c r="A3" s="690" t="s">
        <v>430</v>
      </c>
      <c r="B3" s="690"/>
      <c r="C3" s="690"/>
      <c r="D3" s="690"/>
      <c r="E3" s="690"/>
      <c r="F3" s="690"/>
      <c r="G3" s="690"/>
      <c r="H3" s="690"/>
      <c r="I3" s="690"/>
      <c r="J3" s="690"/>
      <c r="K3" s="690"/>
      <c r="L3" s="690"/>
      <c r="M3" s="690"/>
      <c r="N3" s="690"/>
      <c r="O3" s="690"/>
      <c r="P3" s="690"/>
      <c r="Q3" s="690"/>
      <c r="R3" s="690"/>
      <c r="S3" s="690"/>
      <c r="T3" s="690"/>
      <c r="U3" s="690"/>
      <c r="V3" s="690"/>
      <c r="W3" s="690"/>
      <c r="X3" s="690"/>
      <c r="Y3" s="690"/>
      <c r="Z3" s="690"/>
      <c r="AA3" s="690"/>
      <c r="AB3" s="690"/>
      <c r="AC3" s="690"/>
      <c r="AD3" s="690"/>
      <c r="AE3" s="690"/>
      <c r="AF3" s="690"/>
      <c r="AG3" s="690"/>
      <c r="AH3" s="690"/>
      <c r="AI3" s="690"/>
      <c r="AJ3" s="690"/>
      <c r="AK3" s="690"/>
      <c r="AL3" s="690"/>
      <c r="AM3" s="690"/>
      <c r="AN3" s="690"/>
      <c r="AO3" s="690"/>
      <c r="AP3" s="690"/>
      <c r="AQ3" s="690"/>
      <c r="AR3" s="690"/>
      <c r="AS3" s="690"/>
      <c r="AT3" s="690"/>
      <c r="AU3" s="690"/>
      <c r="AV3" s="690"/>
      <c r="AW3" s="690"/>
      <c r="AX3" s="690"/>
      <c r="AY3" s="690"/>
      <c r="AZ3" s="690"/>
      <c r="BA3" s="690"/>
      <c r="BB3" s="690"/>
      <c r="BC3" s="690"/>
      <c r="BD3" s="690"/>
      <c r="BE3" s="690"/>
      <c r="BF3" s="690"/>
      <c r="BG3" s="690"/>
      <c r="BH3" s="690"/>
      <c r="BI3" s="690"/>
      <c r="BJ3" s="690"/>
      <c r="BK3" s="690"/>
      <c r="BL3" s="690"/>
      <c r="BM3" s="690"/>
      <c r="BN3" s="690"/>
    </row>
    <row r="4" spans="1:66" x14ac:dyDescent="0.25">
      <c r="A4" s="690"/>
      <c r="B4" s="690"/>
      <c r="C4" s="690"/>
      <c r="D4" s="690"/>
      <c r="E4" s="690"/>
      <c r="F4" s="690"/>
      <c r="G4" s="690"/>
      <c r="H4" s="690"/>
      <c r="I4" s="690"/>
      <c r="J4" s="690"/>
      <c r="K4" s="690"/>
      <c r="L4" s="690"/>
      <c r="M4" s="690"/>
      <c r="N4" s="690"/>
      <c r="O4" s="690"/>
      <c r="P4" s="690"/>
      <c r="Q4" s="690"/>
      <c r="R4" s="690"/>
      <c r="S4" s="690"/>
      <c r="T4" s="690"/>
      <c r="U4" s="690"/>
      <c r="V4" s="690"/>
      <c r="W4" s="690"/>
      <c r="X4" s="690"/>
      <c r="Y4" s="690"/>
      <c r="Z4" s="690"/>
      <c r="AA4" s="690"/>
      <c r="AB4" s="690"/>
      <c r="AC4" s="690"/>
      <c r="AD4" s="690"/>
      <c r="AE4" s="690"/>
      <c r="AF4" s="690"/>
      <c r="AG4" s="690"/>
      <c r="AH4" s="690"/>
      <c r="AI4" s="690"/>
      <c r="AJ4" s="690"/>
      <c r="AK4" s="690"/>
      <c r="AL4" s="690"/>
      <c r="AM4" s="690"/>
      <c r="AN4" s="690"/>
      <c r="AO4" s="690"/>
      <c r="AP4" s="690"/>
      <c r="AQ4" s="690"/>
      <c r="AR4" s="690"/>
      <c r="AS4" s="690"/>
      <c r="AT4" s="690"/>
      <c r="AU4" s="690"/>
      <c r="AV4" s="690"/>
      <c r="AW4" s="690"/>
      <c r="AX4" s="690"/>
      <c r="AY4" s="690"/>
      <c r="AZ4" s="690"/>
      <c r="BA4" s="690"/>
      <c r="BB4" s="690"/>
      <c r="BC4" s="690"/>
      <c r="BD4" s="690"/>
      <c r="BE4" s="690"/>
      <c r="BF4" s="690"/>
      <c r="BG4" s="690"/>
      <c r="BH4" s="690"/>
      <c r="BI4" s="690"/>
      <c r="BJ4" s="690"/>
      <c r="BK4" s="690"/>
      <c r="BL4" s="690"/>
      <c r="BM4" s="690"/>
      <c r="BN4" s="690"/>
    </row>
    <row r="5" spans="1:66" x14ac:dyDescent="0.25">
      <c r="A5" s="690"/>
      <c r="B5" s="690"/>
      <c r="C5" s="690"/>
      <c r="D5" s="690"/>
      <c r="E5" s="690"/>
      <c r="F5" s="690"/>
      <c r="G5" s="690"/>
      <c r="H5" s="690"/>
      <c r="I5" s="690"/>
      <c r="J5" s="690"/>
      <c r="K5" s="690"/>
      <c r="L5" s="690"/>
      <c r="M5" s="690"/>
      <c r="N5" s="690"/>
      <c r="O5" s="690"/>
      <c r="P5" s="690"/>
      <c r="Q5" s="690"/>
      <c r="R5" s="690"/>
      <c r="S5" s="690"/>
      <c r="T5" s="690"/>
      <c r="U5" s="690"/>
      <c r="V5" s="690"/>
      <c r="W5" s="690"/>
      <c r="X5" s="690"/>
      <c r="Y5" s="690"/>
      <c r="Z5" s="690"/>
      <c r="AA5" s="690"/>
      <c r="AB5" s="690"/>
      <c r="AC5" s="690"/>
      <c r="AD5" s="690"/>
      <c r="AE5" s="690"/>
      <c r="AF5" s="690"/>
      <c r="AG5" s="690"/>
      <c r="AH5" s="690"/>
      <c r="AI5" s="690"/>
      <c r="AJ5" s="690"/>
      <c r="AK5" s="690"/>
      <c r="AL5" s="690"/>
      <c r="AM5" s="690"/>
      <c r="AN5" s="690"/>
      <c r="AO5" s="690"/>
      <c r="AP5" s="690"/>
      <c r="AQ5" s="690"/>
      <c r="AR5" s="690"/>
      <c r="AS5" s="690"/>
      <c r="AT5" s="690"/>
      <c r="AU5" s="690"/>
      <c r="AV5" s="690"/>
      <c r="AW5" s="690"/>
      <c r="AX5" s="690"/>
      <c r="AY5" s="690"/>
      <c r="AZ5" s="690"/>
      <c r="BA5" s="690"/>
      <c r="BB5" s="690"/>
      <c r="BC5" s="690"/>
      <c r="BD5" s="690"/>
      <c r="BE5" s="690"/>
      <c r="BF5" s="690"/>
      <c r="BG5" s="690"/>
      <c r="BH5" s="690"/>
      <c r="BI5" s="690"/>
      <c r="BJ5" s="690"/>
      <c r="BK5" s="690"/>
      <c r="BL5" s="690"/>
      <c r="BM5" s="690"/>
      <c r="BN5" s="690"/>
    </row>
    <row r="6" spans="1:66" x14ac:dyDescent="0.25">
      <c r="A6" s="690"/>
      <c r="B6" s="690"/>
      <c r="C6" s="690"/>
      <c r="D6" s="690"/>
      <c r="E6" s="690"/>
      <c r="F6" s="690"/>
      <c r="G6" s="690"/>
      <c r="H6" s="690"/>
      <c r="I6" s="690"/>
      <c r="J6" s="690"/>
      <c r="K6" s="690"/>
      <c r="L6" s="690"/>
      <c r="M6" s="690"/>
      <c r="N6" s="690"/>
      <c r="O6" s="690"/>
      <c r="P6" s="690"/>
      <c r="Q6" s="690"/>
      <c r="R6" s="690"/>
      <c r="S6" s="690"/>
      <c r="T6" s="690"/>
      <c r="U6" s="690"/>
      <c r="V6" s="690"/>
      <c r="W6" s="690"/>
      <c r="X6" s="690"/>
      <c r="Y6" s="690"/>
      <c r="Z6" s="690"/>
      <c r="AA6" s="690"/>
      <c r="AB6" s="690"/>
      <c r="AC6" s="690"/>
      <c r="AD6" s="690"/>
      <c r="AE6" s="690"/>
      <c r="AF6" s="690"/>
      <c r="AG6" s="690"/>
      <c r="AH6" s="690"/>
      <c r="AI6" s="690"/>
      <c r="AJ6" s="690"/>
      <c r="AK6" s="690"/>
      <c r="AL6" s="690"/>
      <c r="AM6" s="690"/>
      <c r="AN6" s="690"/>
      <c r="AO6" s="690"/>
      <c r="AP6" s="690"/>
      <c r="AQ6" s="690"/>
      <c r="AR6" s="690"/>
      <c r="AS6" s="690"/>
      <c r="AT6" s="690"/>
      <c r="AU6" s="690"/>
      <c r="AV6" s="690"/>
      <c r="AW6" s="690"/>
      <c r="AX6" s="690"/>
      <c r="AY6" s="690"/>
      <c r="AZ6" s="690"/>
      <c r="BA6" s="690"/>
      <c r="BB6" s="690"/>
      <c r="BC6" s="690"/>
      <c r="BD6" s="690"/>
      <c r="BE6" s="690"/>
      <c r="BF6" s="690"/>
      <c r="BG6" s="690"/>
      <c r="BH6" s="690"/>
      <c r="BI6" s="690"/>
      <c r="BJ6" s="690"/>
      <c r="BK6" s="690"/>
      <c r="BL6" s="690"/>
      <c r="BM6" s="690"/>
      <c r="BN6" s="690"/>
    </row>
    <row r="7" spans="1:66" x14ac:dyDescent="0.25">
      <c r="A7" s="690"/>
      <c r="B7" s="690"/>
      <c r="C7" s="690"/>
      <c r="D7" s="690"/>
      <c r="E7" s="690"/>
      <c r="F7" s="690"/>
      <c r="G7" s="690"/>
      <c r="H7" s="690"/>
      <c r="I7" s="690"/>
      <c r="J7" s="690"/>
      <c r="K7" s="690"/>
      <c r="L7" s="690"/>
      <c r="M7" s="690"/>
      <c r="N7" s="690"/>
      <c r="O7" s="690"/>
      <c r="P7" s="690"/>
      <c r="Q7" s="690"/>
      <c r="R7" s="690"/>
      <c r="S7" s="690"/>
      <c r="T7" s="690"/>
      <c r="U7" s="690"/>
      <c r="V7" s="690"/>
      <c r="W7" s="690"/>
      <c r="X7" s="690"/>
      <c r="Y7" s="690"/>
      <c r="Z7" s="690"/>
      <c r="AA7" s="690"/>
      <c r="AB7" s="690"/>
      <c r="AC7" s="690"/>
      <c r="AD7" s="690"/>
      <c r="AE7" s="690"/>
      <c r="AF7" s="690"/>
      <c r="AG7" s="690"/>
      <c r="AH7" s="690"/>
      <c r="AI7" s="690"/>
      <c r="AJ7" s="690"/>
      <c r="AK7" s="690"/>
      <c r="AL7" s="690"/>
      <c r="AM7" s="690"/>
      <c r="AN7" s="690"/>
      <c r="AO7" s="690"/>
      <c r="AP7" s="690"/>
      <c r="AQ7" s="690"/>
      <c r="AR7" s="690"/>
      <c r="AS7" s="690"/>
      <c r="AT7" s="690"/>
      <c r="AU7" s="690"/>
      <c r="AV7" s="690"/>
      <c r="AW7" s="690"/>
      <c r="AX7" s="690"/>
      <c r="AY7" s="690"/>
      <c r="AZ7" s="690"/>
      <c r="BA7" s="690"/>
      <c r="BB7" s="690"/>
      <c r="BC7" s="690"/>
      <c r="BD7" s="690"/>
      <c r="BE7" s="690"/>
      <c r="BF7" s="690"/>
      <c r="BG7" s="690"/>
      <c r="BH7" s="690"/>
      <c r="BI7" s="690"/>
      <c r="BJ7" s="690"/>
      <c r="BK7" s="690"/>
      <c r="BL7" s="690"/>
      <c r="BM7" s="690"/>
      <c r="BN7" s="690"/>
    </row>
    <row r="8" spans="1:66" x14ac:dyDescent="0.25">
      <c r="A8" s="690"/>
      <c r="B8" s="690"/>
      <c r="C8" s="690"/>
      <c r="D8" s="690"/>
      <c r="E8" s="690"/>
      <c r="F8" s="690"/>
      <c r="G8" s="690"/>
      <c r="H8" s="690"/>
      <c r="I8" s="690"/>
      <c r="J8" s="690"/>
      <c r="K8" s="690"/>
      <c r="L8" s="690"/>
      <c r="M8" s="690"/>
      <c r="N8" s="690"/>
      <c r="O8" s="690"/>
      <c r="P8" s="690"/>
      <c r="Q8" s="690"/>
      <c r="R8" s="690"/>
      <c r="S8" s="690"/>
      <c r="T8" s="690"/>
      <c r="U8" s="690"/>
      <c r="V8" s="690"/>
      <c r="W8" s="690"/>
      <c r="X8" s="690"/>
      <c r="Y8" s="690"/>
      <c r="Z8" s="690"/>
      <c r="AA8" s="690"/>
      <c r="AB8" s="690"/>
      <c r="AC8" s="690"/>
      <c r="AD8" s="690"/>
      <c r="AE8" s="690"/>
      <c r="AF8" s="690"/>
      <c r="AG8" s="690"/>
      <c r="AH8" s="690"/>
      <c r="AI8" s="690"/>
      <c r="AJ8" s="690"/>
      <c r="AK8" s="690"/>
      <c r="AL8" s="690"/>
      <c r="AM8" s="690"/>
      <c r="AN8" s="690"/>
      <c r="AO8" s="690"/>
      <c r="AP8" s="690"/>
      <c r="AQ8" s="690"/>
      <c r="AR8" s="690"/>
      <c r="AS8" s="690"/>
      <c r="AT8" s="690"/>
      <c r="AU8" s="690"/>
      <c r="AV8" s="690"/>
      <c r="AW8" s="690"/>
      <c r="AX8" s="690"/>
      <c r="AY8" s="690"/>
      <c r="AZ8" s="690"/>
      <c r="BA8" s="690"/>
      <c r="BB8" s="690"/>
      <c r="BC8" s="690"/>
      <c r="BD8" s="690"/>
      <c r="BE8" s="690"/>
      <c r="BF8" s="690"/>
      <c r="BG8" s="690"/>
      <c r="BH8" s="690"/>
      <c r="BI8" s="690"/>
      <c r="BJ8" s="690"/>
      <c r="BK8" s="690"/>
      <c r="BL8" s="690"/>
      <c r="BM8" s="690"/>
      <c r="BN8" s="690"/>
    </row>
    <row r="9" spans="1:66" x14ac:dyDescent="0.25">
      <c r="A9" s="690"/>
      <c r="B9" s="690"/>
      <c r="C9" s="690"/>
      <c r="D9" s="690"/>
      <c r="E9" s="690"/>
      <c r="F9" s="690"/>
      <c r="G9" s="690"/>
      <c r="H9" s="690"/>
      <c r="I9" s="690"/>
      <c r="J9" s="690"/>
      <c r="K9" s="690"/>
      <c r="L9" s="690"/>
      <c r="M9" s="690"/>
      <c r="N9" s="690"/>
      <c r="O9" s="690"/>
      <c r="P9" s="690"/>
      <c r="Q9" s="690"/>
      <c r="R9" s="690"/>
      <c r="S9" s="690"/>
      <c r="T9" s="690"/>
      <c r="U9" s="690"/>
      <c r="V9" s="690"/>
      <c r="W9" s="690"/>
      <c r="X9" s="690"/>
      <c r="Y9" s="690"/>
      <c r="Z9" s="690"/>
      <c r="AA9" s="690"/>
      <c r="AB9" s="690"/>
      <c r="AC9" s="690"/>
      <c r="AD9" s="690"/>
      <c r="AE9" s="690"/>
      <c r="AF9" s="690"/>
      <c r="AG9" s="690"/>
      <c r="AH9" s="690"/>
      <c r="AI9" s="690"/>
      <c r="AJ9" s="690"/>
      <c r="AK9" s="690"/>
      <c r="AL9" s="690"/>
      <c r="AM9" s="690"/>
      <c r="AN9" s="690"/>
      <c r="AO9" s="690"/>
      <c r="AP9" s="690"/>
      <c r="AQ9" s="690"/>
      <c r="AR9" s="690"/>
      <c r="AS9" s="690"/>
      <c r="AT9" s="690"/>
      <c r="AU9" s="690"/>
      <c r="AV9" s="690"/>
      <c r="AW9" s="690"/>
      <c r="AX9" s="690"/>
      <c r="AY9" s="690"/>
      <c r="AZ9" s="690"/>
      <c r="BA9" s="690"/>
      <c r="BB9" s="690"/>
      <c r="BC9" s="690"/>
      <c r="BD9" s="690"/>
      <c r="BE9" s="690"/>
      <c r="BF9" s="690"/>
      <c r="BG9" s="690"/>
      <c r="BH9" s="690"/>
      <c r="BI9" s="690"/>
      <c r="BJ9" s="690"/>
      <c r="BK9" s="690"/>
      <c r="BL9" s="690"/>
      <c r="BM9" s="690"/>
      <c r="BN9" s="690"/>
    </row>
    <row r="10" spans="1:66" x14ac:dyDescent="0.25">
      <c r="A10" s="690"/>
      <c r="B10" s="690"/>
      <c r="C10" s="690"/>
      <c r="D10" s="690"/>
      <c r="E10" s="690"/>
      <c r="F10" s="690"/>
      <c r="G10" s="690"/>
      <c r="H10" s="690"/>
      <c r="I10" s="690"/>
      <c r="J10" s="690"/>
      <c r="K10" s="690"/>
      <c r="L10" s="690"/>
      <c r="M10" s="690"/>
      <c r="N10" s="690"/>
      <c r="O10" s="690"/>
      <c r="P10" s="690"/>
      <c r="Q10" s="690"/>
      <c r="R10" s="690"/>
      <c r="S10" s="690"/>
      <c r="T10" s="690"/>
      <c r="U10" s="690"/>
      <c r="V10" s="690"/>
      <c r="W10" s="690"/>
      <c r="X10" s="690"/>
      <c r="Y10" s="690"/>
      <c r="Z10" s="690"/>
      <c r="AA10" s="690"/>
      <c r="AB10" s="690"/>
      <c r="AC10" s="690"/>
      <c r="AD10" s="690"/>
      <c r="AE10" s="690"/>
      <c r="AF10" s="690"/>
      <c r="AG10" s="690"/>
      <c r="AH10" s="690"/>
      <c r="AI10" s="690"/>
      <c r="AJ10" s="690"/>
      <c r="AK10" s="690"/>
      <c r="AL10" s="690"/>
      <c r="AM10" s="690"/>
      <c r="AN10" s="690"/>
      <c r="AO10" s="690"/>
      <c r="AP10" s="690"/>
      <c r="AQ10" s="690"/>
      <c r="AR10" s="690"/>
      <c r="AS10" s="690"/>
      <c r="AT10" s="690"/>
      <c r="AU10" s="690"/>
      <c r="AV10" s="690"/>
      <c r="AW10" s="690"/>
      <c r="AX10" s="690"/>
      <c r="AY10" s="690"/>
      <c r="AZ10" s="690"/>
      <c r="BA10" s="690"/>
      <c r="BB10" s="690"/>
      <c r="BC10" s="690"/>
      <c r="BD10" s="690"/>
      <c r="BE10" s="690"/>
      <c r="BF10" s="690"/>
      <c r="BG10" s="690"/>
      <c r="BH10" s="690"/>
      <c r="BI10" s="690"/>
      <c r="BJ10" s="690"/>
      <c r="BK10" s="690"/>
      <c r="BL10" s="690"/>
      <c r="BM10" s="690"/>
      <c r="BN10" s="690"/>
    </row>
    <row r="11" spans="1:66" x14ac:dyDescent="0.25">
      <c r="A11" s="690"/>
      <c r="B11" s="690"/>
      <c r="C11" s="690"/>
      <c r="D11" s="690"/>
      <c r="E11" s="690"/>
      <c r="F11" s="690"/>
      <c r="G11" s="690"/>
      <c r="H11" s="690"/>
      <c r="I11" s="690"/>
      <c r="J11" s="690"/>
      <c r="K11" s="690"/>
      <c r="L11" s="690"/>
      <c r="M11" s="690"/>
      <c r="N11" s="690"/>
      <c r="O11" s="690"/>
      <c r="P11" s="690"/>
      <c r="Q11" s="690"/>
      <c r="R11" s="690"/>
      <c r="S11" s="690"/>
      <c r="T11" s="690"/>
      <c r="U11" s="690"/>
      <c r="V11" s="690"/>
      <c r="W11" s="690"/>
      <c r="X11" s="690"/>
      <c r="Y11" s="690"/>
      <c r="Z11" s="690"/>
      <c r="AA11" s="690"/>
      <c r="AB11" s="690"/>
      <c r="AC11" s="690"/>
      <c r="AD11" s="690"/>
      <c r="AE11" s="690"/>
      <c r="AF11" s="690"/>
      <c r="AG11" s="690"/>
      <c r="AH11" s="690"/>
      <c r="AI11" s="690"/>
      <c r="AJ11" s="690"/>
      <c r="AK11" s="690"/>
      <c r="AL11" s="690"/>
      <c r="AM11" s="690"/>
      <c r="AN11" s="690"/>
      <c r="AO11" s="690"/>
      <c r="AP11" s="690"/>
      <c r="AQ11" s="690"/>
      <c r="AR11" s="690"/>
      <c r="AS11" s="690"/>
      <c r="AT11" s="690"/>
      <c r="AU11" s="690"/>
      <c r="AV11" s="690"/>
      <c r="AW11" s="690"/>
      <c r="AX11" s="690"/>
      <c r="AY11" s="690"/>
      <c r="AZ11" s="690"/>
      <c r="BA11" s="690"/>
      <c r="BB11" s="690"/>
      <c r="BC11" s="690"/>
      <c r="BD11" s="690"/>
      <c r="BE11" s="690"/>
      <c r="BF11" s="690"/>
      <c r="BG11" s="690"/>
      <c r="BH11" s="690"/>
      <c r="BI11" s="690"/>
      <c r="BJ11" s="690"/>
      <c r="BK11" s="690"/>
      <c r="BL11" s="690"/>
      <c r="BM11" s="690"/>
      <c r="BN11" s="690"/>
    </row>
    <row r="12" spans="1:66" x14ac:dyDescent="0.25">
      <c r="A12" s="690"/>
      <c r="B12" s="690"/>
      <c r="C12" s="690"/>
      <c r="D12" s="690"/>
      <c r="E12" s="690"/>
      <c r="F12" s="690"/>
      <c r="G12" s="690"/>
      <c r="H12" s="690"/>
      <c r="I12" s="690"/>
      <c r="J12" s="690"/>
      <c r="K12" s="690"/>
      <c r="L12" s="690"/>
      <c r="M12" s="690"/>
      <c r="N12" s="690"/>
      <c r="O12" s="690"/>
      <c r="P12" s="690"/>
      <c r="Q12" s="690"/>
      <c r="R12" s="690"/>
      <c r="S12" s="690"/>
      <c r="T12" s="690"/>
      <c r="U12" s="690"/>
      <c r="V12" s="690"/>
      <c r="W12" s="690"/>
      <c r="X12" s="690"/>
      <c r="Y12" s="690"/>
      <c r="Z12" s="690"/>
      <c r="AA12" s="690"/>
      <c r="AB12" s="690"/>
      <c r="AC12" s="690"/>
      <c r="AD12" s="690"/>
      <c r="AE12" s="690"/>
      <c r="AF12" s="690"/>
      <c r="AG12" s="690"/>
      <c r="AH12" s="690"/>
      <c r="AI12" s="690"/>
      <c r="AJ12" s="690"/>
      <c r="AK12" s="690"/>
      <c r="AL12" s="690"/>
      <c r="AM12" s="690"/>
      <c r="AN12" s="690"/>
      <c r="AO12" s="690"/>
      <c r="AP12" s="690"/>
      <c r="AQ12" s="690"/>
      <c r="AR12" s="690"/>
      <c r="AS12" s="690"/>
      <c r="AT12" s="690"/>
      <c r="AU12" s="690"/>
      <c r="AV12" s="690"/>
      <c r="AW12" s="690"/>
      <c r="AX12" s="690"/>
      <c r="AY12" s="690"/>
      <c r="AZ12" s="690"/>
      <c r="BA12" s="690"/>
      <c r="BB12" s="690"/>
      <c r="BC12" s="690"/>
      <c r="BD12" s="690"/>
      <c r="BE12" s="690"/>
      <c r="BF12" s="690"/>
      <c r="BG12" s="690"/>
      <c r="BH12" s="690"/>
      <c r="BI12" s="690"/>
      <c r="BJ12" s="690"/>
      <c r="BK12" s="690"/>
      <c r="BL12" s="690"/>
      <c r="BM12" s="690"/>
      <c r="BN12" s="690"/>
    </row>
    <row r="13" spans="1:66" x14ac:dyDescent="0.25">
      <c r="A13" s="690"/>
      <c r="B13" s="690"/>
      <c r="C13" s="690"/>
      <c r="D13" s="690"/>
      <c r="E13" s="690"/>
      <c r="F13" s="690"/>
      <c r="G13" s="690"/>
      <c r="H13" s="690"/>
      <c r="I13" s="690"/>
      <c r="J13" s="690"/>
      <c r="K13" s="690"/>
      <c r="L13" s="690"/>
      <c r="M13" s="690"/>
      <c r="N13" s="690"/>
      <c r="O13" s="690"/>
      <c r="P13" s="690"/>
      <c r="Q13" s="690"/>
      <c r="R13" s="690"/>
      <c r="S13" s="690"/>
      <c r="T13" s="690"/>
      <c r="U13" s="690"/>
      <c r="V13" s="690"/>
      <c r="W13" s="690"/>
      <c r="X13" s="690"/>
      <c r="Y13" s="690"/>
      <c r="Z13" s="690"/>
      <c r="AA13" s="690"/>
      <c r="AB13" s="690"/>
      <c r="AC13" s="690"/>
      <c r="AD13" s="690"/>
      <c r="AE13" s="690"/>
      <c r="AF13" s="690"/>
      <c r="AG13" s="690"/>
      <c r="AH13" s="690"/>
      <c r="AI13" s="690"/>
      <c r="AJ13" s="690"/>
      <c r="AK13" s="690"/>
      <c r="AL13" s="690"/>
      <c r="AM13" s="690"/>
      <c r="AN13" s="690"/>
      <c r="AO13" s="690"/>
      <c r="AP13" s="690"/>
      <c r="AQ13" s="690"/>
      <c r="AR13" s="690"/>
      <c r="AS13" s="690"/>
      <c r="AT13" s="690"/>
      <c r="AU13" s="690"/>
      <c r="AV13" s="690"/>
      <c r="AW13" s="690"/>
      <c r="AX13" s="690"/>
      <c r="AY13" s="690"/>
      <c r="AZ13" s="690"/>
      <c r="BA13" s="690"/>
      <c r="BB13" s="690"/>
      <c r="BC13" s="690"/>
      <c r="BD13" s="690"/>
      <c r="BE13" s="690"/>
      <c r="BF13" s="690"/>
      <c r="BG13" s="690"/>
      <c r="BH13" s="690"/>
      <c r="BI13" s="690"/>
      <c r="BJ13" s="690"/>
      <c r="BK13" s="690"/>
      <c r="BL13" s="690"/>
      <c r="BM13" s="690"/>
      <c r="BN13" s="690"/>
    </row>
    <row r="14" spans="1:66" x14ac:dyDescent="0.25">
      <c r="A14" s="690"/>
      <c r="B14" s="690"/>
      <c r="C14" s="690"/>
      <c r="D14" s="690"/>
      <c r="E14" s="690"/>
      <c r="F14" s="690"/>
      <c r="G14" s="690"/>
      <c r="H14" s="690"/>
      <c r="I14" s="690"/>
      <c r="J14" s="690"/>
      <c r="K14" s="690"/>
      <c r="L14" s="690"/>
      <c r="M14" s="690"/>
      <c r="N14" s="690"/>
      <c r="O14" s="690"/>
      <c r="P14" s="690"/>
      <c r="Q14" s="690"/>
      <c r="R14" s="690"/>
      <c r="S14" s="690"/>
      <c r="T14" s="690"/>
      <c r="U14" s="690"/>
      <c r="V14" s="690"/>
      <c r="W14" s="690"/>
      <c r="X14" s="690"/>
      <c r="Y14" s="690"/>
      <c r="Z14" s="690"/>
      <c r="AA14" s="690"/>
      <c r="AB14" s="690"/>
      <c r="AC14" s="690"/>
      <c r="AD14" s="690"/>
      <c r="AE14" s="690"/>
      <c r="AF14" s="690"/>
      <c r="AG14" s="690"/>
      <c r="AH14" s="690"/>
      <c r="AI14" s="690"/>
      <c r="AJ14" s="690"/>
      <c r="AK14" s="690"/>
      <c r="AL14" s="690"/>
      <c r="AM14" s="690"/>
      <c r="AN14" s="690"/>
      <c r="AO14" s="690"/>
      <c r="AP14" s="690"/>
      <c r="AQ14" s="690"/>
      <c r="AR14" s="690"/>
      <c r="AS14" s="690"/>
      <c r="AT14" s="690"/>
      <c r="AU14" s="690"/>
      <c r="AV14" s="690"/>
      <c r="AW14" s="690"/>
      <c r="AX14" s="690"/>
      <c r="AY14" s="690"/>
      <c r="AZ14" s="690"/>
      <c r="BA14" s="690"/>
      <c r="BB14" s="690"/>
      <c r="BC14" s="690"/>
      <c r="BD14" s="690"/>
      <c r="BE14" s="690"/>
      <c r="BF14" s="690"/>
      <c r="BG14" s="690"/>
      <c r="BH14" s="690"/>
      <c r="BI14" s="690"/>
      <c r="BJ14" s="690"/>
      <c r="BK14" s="690"/>
      <c r="BL14" s="690"/>
      <c r="BM14" s="690"/>
      <c r="BN14" s="690"/>
    </row>
    <row r="33" spans="1:1" x14ac:dyDescent="0.25">
      <c r="A33" s="432" t="s">
        <v>431</v>
      </c>
    </row>
  </sheetData>
  <mergeCells count="1">
    <mergeCell ref="A3:BN14"/>
  </mergeCells>
  <pageMargins left="0.7" right="0.7" top="0.75" bottom="0.75" header="0.3" footer="0.3"/>
  <pageSetup paperSize="5" scale="74" fitToHeight="0"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H80"/>
  <sheetViews>
    <sheetView workbookViewId="0">
      <selection activeCell="I21" sqref="I21"/>
    </sheetView>
  </sheetViews>
  <sheetFormatPr defaultRowHeight="13.2" x14ac:dyDescent="0.25"/>
  <sheetData>
    <row r="1" spans="2:34" ht="13.8" thickBot="1" x14ac:dyDescent="0.3"/>
    <row r="2" spans="2:34" ht="14.4" x14ac:dyDescent="0.3">
      <c r="B2" s="507"/>
      <c r="C2" s="508"/>
      <c r="D2" s="508"/>
      <c r="E2" s="508"/>
      <c r="F2" s="508"/>
      <c r="G2" s="508"/>
      <c r="H2" s="509"/>
      <c r="J2" s="516"/>
      <c r="K2" s="517"/>
      <c r="L2" s="517"/>
      <c r="M2" s="517"/>
      <c r="N2" s="517"/>
      <c r="O2" s="517"/>
      <c r="P2" s="517"/>
      <c r="Q2" s="517"/>
      <c r="R2" s="517"/>
      <c r="S2" s="517"/>
      <c r="T2" s="517"/>
      <c r="U2" s="518"/>
      <c r="W2" s="526"/>
      <c r="X2" s="527"/>
      <c r="Y2" s="527"/>
      <c r="Z2" s="527"/>
      <c r="AA2" s="527"/>
      <c r="AB2" s="527"/>
      <c r="AC2" s="527"/>
      <c r="AD2" s="527"/>
      <c r="AE2" s="527"/>
      <c r="AF2" s="527"/>
      <c r="AG2" s="527"/>
      <c r="AH2" s="528"/>
    </row>
    <row r="3" spans="2:34" ht="14.4" x14ac:dyDescent="0.3">
      <c r="B3" s="510"/>
      <c r="C3" s="511"/>
      <c r="D3" s="511"/>
      <c r="E3" s="511"/>
      <c r="F3" s="511"/>
      <c r="G3" s="511"/>
      <c r="H3" s="512"/>
      <c r="J3" s="519"/>
      <c r="K3" s="520"/>
      <c r="L3" s="520"/>
      <c r="M3" s="520"/>
      <c r="N3" s="520"/>
      <c r="O3" s="520"/>
      <c r="P3" s="520"/>
      <c r="Q3" s="520"/>
      <c r="R3" s="520"/>
      <c r="S3" s="520"/>
      <c r="T3" s="520"/>
      <c r="U3" s="521"/>
      <c r="W3" s="529"/>
      <c r="X3" s="530"/>
      <c r="Y3" s="530"/>
      <c r="Z3" s="530"/>
      <c r="AA3" s="530"/>
      <c r="AB3" s="530"/>
      <c r="AC3" s="530"/>
      <c r="AD3" s="530"/>
      <c r="AE3" s="530"/>
      <c r="AF3" s="530"/>
      <c r="AG3" s="530"/>
      <c r="AH3" s="531"/>
    </row>
    <row r="4" spans="2:34" ht="14.4" x14ac:dyDescent="0.3">
      <c r="B4" s="510"/>
      <c r="C4" s="511"/>
      <c r="D4" s="511"/>
      <c r="E4" s="511"/>
      <c r="F4" s="511"/>
      <c r="G4" s="511"/>
      <c r="H4" s="512"/>
      <c r="J4" s="519"/>
      <c r="K4" s="520"/>
      <c r="L4" s="520"/>
      <c r="M4" s="520"/>
      <c r="N4" s="520"/>
      <c r="O4" s="520"/>
      <c r="P4" s="520"/>
      <c r="Q4" s="520"/>
      <c r="R4" s="520"/>
      <c r="S4" s="520"/>
      <c r="T4" s="520"/>
      <c r="U4" s="521"/>
      <c r="W4" s="529"/>
      <c r="X4" s="530"/>
      <c r="Y4" s="530"/>
      <c r="Z4" s="530"/>
      <c r="AA4" s="530"/>
      <c r="AB4" s="530"/>
      <c r="AC4" s="530"/>
      <c r="AD4" s="530"/>
      <c r="AE4" s="530"/>
      <c r="AF4" s="530"/>
      <c r="AG4" s="530"/>
      <c r="AH4" s="531"/>
    </row>
    <row r="5" spans="2:34" ht="14.4" x14ac:dyDescent="0.3">
      <c r="B5" s="510"/>
      <c r="C5" s="511"/>
      <c r="D5" s="511"/>
      <c r="E5" s="511"/>
      <c r="F5" s="511"/>
      <c r="G5" s="511"/>
      <c r="H5" s="512"/>
      <c r="J5" s="519"/>
      <c r="K5" s="520"/>
      <c r="L5" s="520"/>
      <c r="M5" s="520"/>
      <c r="N5" s="520"/>
      <c r="O5" s="520"/>
      <c r="P5" s="520"/>
      <c r="Q5" s="520"/>
      <c r="R5" s="520"/>
      <c r="S5" s="520"/>
      <c r="T5" s="520"/>
      <c r="U5" s="521"/>
      <c r="W5" s="529"/>
      <c r="X5" s="530"/>
      <c r="Y5" s="530"/>
      <c r="Z5" s="530"/>
      <c r="AA5" s="530"/>
      <c r="AB5" s="530"/>
      <c r="AC5" s="530"/>
      <c r="AD5" s="530"/>
      <c r="AE5" s="530"/>
      <c r="AF5" s="530"/>
      <c r="AG5" s="530"/>
      <c r="AH5" s="531"/>
    </row>
    <row r="6" spans="2:34" ht="14.4" x14ac:dyDescent="0.3">
      <c r="B6" s="510"/>
      <c r="C6" s="511"/>
      <c r="D6" s="511"/>
      <c r="E6" s="511"/>
      <c r="F6" s="511"/>
      <c r="G6" s="511"/>
      <c r="H6" s="512"/>
      <c r="J6" s="519"/>
      <c r="K6" s="520"/>
      <c r="L6" s="520"/>
      <c r="M6" s="520"/>
      <c r="N6" s="520"/>
      <c r="O6" s="520"/>
      <c r="P6" s="520"/>
      <c r="Q6" s="520"/>
      <c r="R6" s="520"/>
      <c r="S6" s="520"/>
      <c r="T6" s="520"/>
      <c r="U6" s="521"/>
      <c r="W6" s="529"/>
      <c r="X6" s="530"/>
      <c r="Y6" s="530"/>
      <c r="Z6" s="530"/>
      <c r="AA6" s="530"/>
      <c r="AB6" s="530"/>
      <c r="AC6" s="530"/>
      <c r="AD6" s="530"/>
      <c r="AE6" s="530"/>
      <c r="AF6" s="530"/>
      <c r="AG6" s="530"/>
      <c r="AH6" s="531"/>
    </row>
    <row r="7" spans="2:34" ht="14.4" x14ac:dyDescent="0.3">
      <c r="B7" s="510"/>
      <c r="C7" s="511"/>
      <c r="D7" s="511"/>
      <c r="E7" s="511"/>
      <c r="F7" s="511"/>
      <c r="G7" s="511"/>
      <c r="H7" s="512"/>
      <c r="J7" s="519"/>
      <c r="K7" s="520"/>
      <c r="L7" s="520"/>
      <c r="M7" s="520"/>
      <c r="N7" s="520"/>
      <c r="O7" s="520"/>
      <c r="P7" s="520"/>
      <c r="Q7" s="520"/>
      <c r="R7" s="520"/>
      <c r="S7" s="520"/>
      <c r="T7" s="520"/>
      <c r="U7" s="521"/>
      <c r="W7" s="529"/>
      <c r="X7" s="530"/>
      <c r="Y7" s="530"/>
      <c r="Z7" s="530"/>
      <c r="AA7" s="530"/>
      <c r="AB7" s="530"/>
      <c r="AC7" s="530"/>
      <c r="AD7" s="530"/>
      <c r="AE7" s="530"/>
      <c r="AF7" s="530"/>
      <c r="AG7" s="530"/>
      <c r="AH7" s="531"/>
    </row>
    <row r="8" spans="2:34" ht="14.4" x14ac:dyDescent="0.3">
      <c r="B8" s="510"/>
      <c r="C8" s="511"/>
      <c r="D8" s="511"/>
      <c r="E8" s="511"/>
      <c r="F8" s="511"/>
      <c r="G8" s="511"/>
      <c r="H8" s="512"/>
      <c r="J8" s="519"/>
      <c r="K8" s="520"/>
      <c r="L8" s="520"/>
      <c r="M8" s="520"/>
      <c r="N8" s="520"/>
      <c r="O8" s="520"/>
      <c r="P8" s="520"/>
      <c r="Q8" s="520"/>
      <c r="R8" s="520"/>
      <c r="S8" s="520"/>
      <c r="T8" s="520"/>
      <c r="U8" s="521"/>
      <c r="W8" s="529"/>
      <c r="X8" s="530"/>
      <c r="Y8" s="530"/>
      <c r="Z8" s="530"/>
      <c r="AA8" s="530"/>
      <c r="AB8" s="530"/>
      <c r="AC8" s="530"/>
      <c r="AD8" s="530"/>
      <c r="AE8" s="530"/>
      <c r="AF8" s="530"/>
      <c r="AG8" s="530"/>
      <c r="AH8" s="531"/>
    </row>
    <row r="9" spans="2:34" ht="14.4" x14ac:dyDescent="0.3">
      <c r="B9" s="510"/>
      <c r="C9" s="511"/>
      <c r="D9" s="511"/>
      <c r="E9" s="511"/>
      <c r="F9" s="511"/>
      <c r="G9" s="511"/>
      <c r="H9" s="512"/>
      <c r="J9" s="519"/>
      <c r="K9" s="520"/>
      <c r="L9" s="520"/>
      <c r="M9" s="520"/>
      <c r="N9" s="520"/>
      <c r="O9" s="520"/>
      <c r="P9" s="520"/>
      <c r="Q9" s="520"/>
      <c r="R9" s="520"/>
      <c r="S9" s="520"/>
      <c r="T9" s="520"/>
      <c r="U9" s="521"/>
      <c r="W9" s="529"/>
      <c r="X9" s="530"/>
      <c r="Y9" s="530"/>
      <c r="Z9" s="530"/>
      <c r="AA9" s="530"/>
      <c r="AB9" s="530"/>
      <c r="AC9" s="530"/>
      <c r="AD9" s="530"/>
      <c r="AE9" s="530"/>
      <c r="AF9" s="530"/>
      <c r="AG9" s="530"/>
      <c r="AH9" s="531"/>
    </row>
    <row r="10" spans="2:34" ht="14.4" x14ac:dyDescent="0.3">
      <c r="B10" s="510"/>
      <c r="C10" s="511"/>
      <c r="D10" s="511"/>
      <c r="E10" s="511"/>
      <c r="F10" s="511"/>
      <c r="G10" s="511"/>
      <c r="H10" s="512"/>
      <c r="J10" s="519"/>
      <c r="K10" s="520"/>
      <c r="L10" s="520"/>
      <c r="M10" s="520"/>
      <c r="N10" s="520"/>
      <c r="O10" s="520"/>
      <c r="P10" s="520"/>
      <c r="Q10" s="520"/>
      <c r="R10" s="520"/>
      <c r="S10" s="520"/>
      <c r="T10" s="520"/>
      <c r="U10" s="521"/>
      <c r="W10" s="529"/>
      <c r="X10" s="530"/>
      <c r="Y10" s="530"/>
      <c r="Z10" s="530"/>
      <c r="AA10" s="530"/>
      <c r="AB10" s="530"/>
      <c r="AC10" s="530"/>
      <c r="AD10" s="530"/>
      <c r="AE10" s="530"/>
      <c r="AF10" s="530"/>
      <c r="AG10" s="530"/>
      <c r="AH10" s="531"/>
    </row>
    <row r="11" spans="2:34" ht="14.4" x14ac:dyDescent="0.3">
      <c r="B11" s="510"/>
      <c r="C11" s="511"/>
      <c r="D11" s="511"/>
      <c r="E11" s="511"/>
      <c r="F11" s="511"/>
      <c r="G11" s="511"/>
      <c r="H11" s="512"/>
      <c r="J11" s="519"/>
      <c r="K11" s="520"/>
      <c r="L11" s="520"/>
      <c r="M11" s="520"/>
      <c r="N11" s="520"/>
      <c r="O11" s="520"/>
      <c r="P11" s="520"/>
      <c r="Q11" s="520"/>
      <c r="R11" s="520"/>
      <c r="S11" s="520"/>
      <c r="T11" s="520"/>
      <c r="U11" s="521"/>
      <c r="W11" s="529"/>
      <c r="X11" s="530"/>
      <c r="Y11" s="530"/>
      <c r="Z11" s="530"/>
      <c r="AA11" s="530"/>
      <c r="AB11" s="530"/>
      <c r="AC11" s="530"/>
      <c r="AD11" s="530"/>
      <c r="AE11" s="530"/>
      <c r="AF11" s="530"/>
      <c r="AG11" s="530"/>
      <c r="AH11" s="531"/>
    </row>
    <row r="12" spans="2:34" ht="14.4" x14ac:dyDescent="0.3">
      <c r="B12" s="510"/>
      <c r="C12" s="511"/>
      <c r="D12" s="511"/>
      <c r="E12" s="511"/>
      <c r="F12" s="511"/>
      <c r="G12" s="511"/>
      <c r="H12" s="512"/>
      <c r="J12" s="519"/>
      <c r="K12" s="520"/>
      <c r="L12" s="520"/>
      <c r="M12" s="520"/>
      <c r="N12" s="520"/>
      <c r="O12" s="520"/>
      <c r="P12" s="520"/>
      <c r="Q12" s="520"/>
      <c r="R12" s="520"/>
      <c r="S12" s="520"/>
      <c r="T12" s="520"/>
      <c r="U12" s="521"/>
      <c r="W12" s="529"/>
      <c r="X12" s="530"/>
      <c r="Y12" s="530"/>
      <c r="Z12" s="530"/>
      <c r="AA12" s="530"/>
      <c r="AB12" s="530"/>
      <c r="AC12" s="530"/>
      <c r="AD12" s="530"/>
      <c r="AE12" s="530"/>
      <c r="AF12" s="530"/>
      <c r="AG12" s="530"/>
      <c r="AH12" s="531"/>
    </row>
    <row r="13" spans="2:34" ht="14.4" x14ac:dyDescent="0.3">
      <c r="B13" s="510"/>
      <c r="C13" s="511"/>
      <c r="D13" s="511"/>
      <c r="E13" s="511"/>
      <c r="F13" s="511"/>
      <c r="G13" s="511"/>
      <c r="H13" s="512"/>
      <c r="J13" s="519"/>
      <c r="K13" s="520"/>
      <c r="L13" s="520"/>
      <c r="M13" s="520"/>
      <c r="N13" s="520"/>
      <c r="O13" s="520"/>
      <c r="P13" s="520"/>
      <c r="Q13" s="520"/>
      <c r="R13" s="520"/>
      <c r="S13" s="520"/>
      <c r="T13" s="520"/>
      <c r="U13" s="521"/>
      <c r="W13" s="529"/>
      <c r="X13" s="530"/>
      <c r="Y13" s="530"/>
      <c r="Z13" s="530"/>
      <c r="AA13" s="530"/>
      <c r="AB13" s="530"/>
      <c r="AC13" s="530"/>
      <c r="AD13" s="530"/>
      <c r="AE13" s="530"/>
      <c r="AF13" s="530"/>
      <c r="AG13" s="530"/>
      <c r="AH13" s="531"/>
    </row>
    <row r="14" spans="2:34" ht="14.4" x14ac:dyDescent="0.3">
      <c r="B14" s="510"/>
      <c r="C14" s="511"/>
      <c r="D14" s="511"/>
      <c r="E14" s="511"/>
      <c r="F14" s="511"/>
      <c r="G14" s="511"/>
      <c r="H14" s="512"/>
      <c r="J14" s="519"/>
      <c r="K14" s="520"/>
      <c r="L14" s="520"/>
      <c r="M14" s="520"/>
      <c r="N14" s="520"/>
      <c r="O14" s="520"/>
      <c r="P14" s="520"/>
      <c r="Q14" s="520"/>
      <c r="R14" s="520"/>
      <c r="S14" s="520"/>
      <c r="T14" s="520"/>
      <c r="U14" s="521"/>
      <c r="W14" s="529"/>
      <c r="X14" s="530"/>
      <c r="Y14" s="530"/>
      <c r="Z14" s="530"/>
      <c r="AA14" s="530"/>
      <c r="AB14" s="530"/>
      <c r="AC14" s="530"/>
      <c r="AD14" s="530"/>
      <c r="AE14" s="530"/>
      <c r="AF14" s="530"/>
      <c r="AG14" s="530"/>
      <c r="AH14" s="531"/>
    </row>
    <row r="15" spans="2:34" ht="14.4" x14ac:dyDescent="0.3">
      <c r="B15" s="510"/>
      <c r="C15" s="511"/>
      <c r="D15" s="511"/>
      <c r="E15" s="511"/>
      <c r="F15" s="511"/>
      <c r="G15" s="511"/>
      <c r="H15" s="512"/>
      <c r="J15" s="519"/>
      <c r="K15" s="520"/>
      <c r="L15" s="520"/>
      <c r="M15" s="520"/>
      <c r="N15" s="520"/>
      <c r="O15" s="520"/>
      <c r="P15" s="520"/>
      <c r="Q15" s="520"/>
      <c r="R15" s="520"/>
      <c r="S15" s="520"/>
      <c r="T15" s="520"/>
      <c r="U15" s="521"/>
      <c r="W15" s="529"/>
      <c r="X15" s="530"/>
      <c r="Y15" s="530"/>
      <c r="Z15" s="530"/>
      <c r="AA15" s="530"/>
      <c r="AB15" s="530"/>
      <c r="AC15" s="530"/>
      <c r="AD15" s="530"/>
      <c r="AE15" s="530"/>
      <c r="AF15" s="530"/>
      <c r="AG15" s="530"/>
      <c r="AH15" s="531"/>
    </row>
    <row r="16" spans="2:34" ht="15" thickBot="1" x14ac:dyDescent="0.35">
      <c r="B16" s="513"/>
      <c r="C16" s="514"/>
      <c r="D16" s="514"/>
      <c r="E16" s="514"/>
      <c r="F16" s="514"/>
      <c r="G16" s="514"/>
      <c r="H16" s="515"/>
      <c r="J16" s="519"/>
      <c r="K16" s="520"/>
      <c r="L16" s="520"/>
      <c r="M16" s="520"/>
      <c r="N16" s="520"/>
      <c r="O16" s="520"/>
      <c r="P16" s="520"/>
      <c r="Q16" s="520"/>
      <c r="R16" s="520"/>
      <c r="S16" s="520"/>
      <c r="T16" s="520"/>
      <c r="U16" s="521"/>
      <c r="W16" s="529"/>
      <c r="X16" s="530"/>
      <c r="Y16" s="530"/>
      <c r="Z16" s="530"/>
      <c r="AA16" s="530"/>
      <c r="AB16" s="530"/>
      <c r="AC16" s="530"/>
      <c r="AD16" s="530"/>
      <c r="AE16" s="530"/>
      <c r="AF16" s="530"/>
      <c r="AG16" s="530"/>
      <c r="AH16" s="531"/>
    </row>
    <row r="17" spans="2:34" ht="15" thickBot="1" x14ac:dyDescent="0.35">
      <c r="J17" s="519"/>
      <c r="K17" s="520"/>
      <c r="L17" s="520"/>
      <c r="M17" s="520"/>
      <c r="N17" s="520"/>
      <c r="O17" s="520"/>
      <c r="P17" s="520"/>
      <c r="Q17" s="520"/>
      <c r="R17" s="520"/>
      <c r="S17" s="520"/>
      <c r="T17" s="520"/>
      <c r="U17" s="521"/>
      <c r="W17" s="529"/>
      <c r="X17" s="530"/>
      <c r="Y17" s="530"/>
      <c r="Z17" s="530"/>
      <c r="AA17" s="530"/>
      <c r="AB17" s="530"/>
      <c r="AC17" s="530"/>
      <c r="AD17" s="530"/>
      <c r="AE17" s="530"/>
      <c r="AF17" s="530"/>
      <c r="AG17" s="530"/>
      <c r="AH17" s="531"/>
    </row>
    <row r="18" spans="2:34" ht="14.4" x14ac:dyDescent="0.3">
      <c r="B18" s="507"/>
      <c r="C18" s="508"/>
      <c r="D18" s="508"/>
      <c r="E18" s="508"/>
      <c r="F18" s="508"/>
      <c r="G18" s="508"/>
      <c r="H18" s="509"/>
      <c r="J18" s="519"/>
      <c r="K18" s="520"/>
      <c r="L18" s="520"/>
      <c r="M18" s="520"/>
      <c r="N18" s="520"/>
      <c r="O18" s="520"/>
      <c r="P18" s="520"/>
      <c r="Q18" s="520"/>
      <c r="R18" s="520"/>
      <c r="S18" s="520"/>
      <c r="T18" s="520"/>
      <c r="U18" s="521"/>
      <c r="W18" s="529"/>
      <c r="X18" s="530"/>
      <c r="Y18" s="530"/>
      <c r="Z18" s="530"/>
      <c r="AA18" s="530"/>
      <c r="AB18" s="530"/>
      <c r="AC18" s="530"/>
      <c r="AD18" s="530"/>
      <c r="AE18" s="530"/>
      <c r="AF18" s="530"/>
      <c r="AG18" s="530"/>
      <c r="AH18" s="531"/>
    </row>
    <row r="19" spans="2:34" ht="14.4" x14ac:dyDescent="0.3">
      <c r="B19" s="510"/>
      <c r="C19" s="511"/>
      <c r="D19" s="511"/>
      <c r="E19" s="511"/>
      <c r="F19" s="511"/>
      <c r="G19" s="511"/>
      <c r="H19" s="512"/>
      <c r="J19" s="519"/>
      <c r="K19" s="520"/>
      <c r="L19" s="520"/>
      <c r="M19" s="520"/>
      <c r="N19" s="520"/>
      <c r="O19" s="520"/>
      <c r="P19" s="520"/>
      <c r="Q19" s="520"/>
      <c r="R19" s="520"/>
      <c r="S19" s="520"/>
      <c r="T19" s="520"/>
      <c r="U19" s="521"/>
      <c r="W19" s="529"/>
      <c r="X19" s="530"/>
      <c r="Y19" s="530"/>
      <c r="Z19" s="530"/>
      <c r="AA19" s="530"/>
      <c r="AB19" s="530"/>
      <c r="AC19" s="530"/>
      <c r="AD19" s="530"/>
      <c r="AE19" s="530"/>
      <c r="AF19" s="530"/>
      <c r="AG19" s="530"/>
      <c r="AH19" s="531"/>
    </row>
    <row r="20" spans="2:34" ht="14.4" x14ac:dyDescent="0.3">
      <c r="B20" s="510"/>
      <c r="C20" s="511"/>
      <c r="D20" s="511"/>
      <c r="E20" s="511"/>
      <c r="F20" s="511"/>
      <c r="G20" s="511"/>
      <c r="H20" s="512"/>
      <c r="J20" s="519"/>
      <c r="K20" s="520"/>
      <c r="L20" s="520"/>
      <c r="M20" s="520"/>
      <c r="N20" s="520"/>
      <c r="O20" s="520"/>
      <c r="P20" s="520"/>
      <c r="Q20" s="520"/>
      <c r="R20" s="520"/>
      <c r="S20" s="520"/>
      <c r="T20" s="520"/>
      <c r="U20" s="521"/>
      <c r="W20" s="529"/>
      <c r="X20" s="530"/>
      <c r="Y20" s="530"/>
      <c r="Z20" s="530"/>
      <c r="AA20" s="530"/>
      <c r="AB20" s="530"/>
      <c r="AC20" s="530"/>
      <c r="AD20" s="530"/>
      <c r="AE20" s="530"/>
      <c r="AF20" s="530"/>
      <c r="AG20" s="530"/>
      <c r="AH20" s="531"/>
    </row>
    <row r="21" spans="2:34" ht="14.4" x14ac:dyDescent="0.3">
      <c r="B21" s="510"/>
      <c r="C21" s="511"/>
      <c r="D21" s="511"/>
      <c r="E21" s="511"/>
      <c r="F21" s="511"/>
      <c r="G21" s="511"/>
      <c r="H21" s="512"/>
      <c r="J21" s="519"/>
      <c r="K21" s="520"/>
      <c r="L21" s="520"/>
      <c r="M21" s="520"/>
      <c r="N21" s="520"/>
      <c r="O21" s="520"/>
      <c r="P21" s="520"/>
      <c r="Q21" s="520"/>
      <c r="R21" s="520"/>
      <c r="S21" s="520"/>
      <c r="T21" s="520"/>
      <c r="U21" s="521"/>
      <c r="W21" s="529"/>
      <c r="X21" s="530"/>
      <c r="Y21" s="530"/>
      <c r="Z21" s="530"/>
      <c r="AA21" s="530"/>
      <c r="AB21" s="530"/>
      <c r="AC21" s="530"/>
      <c r="AD21" s="530"/>
      <c r="AE21" s="530"/>
      <c r="AF21" s="530"/>
      <c r="AG21" s="530"/>
      <c r="AH21" s="531"/>
    </row>
    <row r="22" spans="2:34" ht="14.4" x14ac:dyDescent="0.3">
      <c r="B22" s="510"/>
      <c r="C22" s="511"/>
      <c r="D22" s="511"/>
      <c r="E22" s="511"/>
      <c r="F22" s="511"/>
      <c r="G22" s="511"/>
      <c r="H22" s="512"/>
      <c r="J22" s="519"/>
      <c r="K22" s="520"/>
      <c r="L22" s="520"/>
      <c r="M22" s="520"/>
      <c r="N22" s="520"/>
      <c r="O22" s="520"/>
      <c r="P22" s="520"/>
      <c r="Q22" s="520"/>
      <c r="R22" s="520"/>
      <c r="S22" s="520"/>
      <c r="T22" s="520"/>
      <c r="U22" s="521"/>
      <c r="W22" s="529"/>
      <c r="X22" s="530"/>
      <c r="Y22" s="530"/>
      <c r="Z22" s="530"/>
      <c r="AA22" s="530"/>
      <c r="AB22" s="530"/>
      <c r="AC22" s="530"/>
      <c r="AD22" s="530"/>
      <c r="AE22" s="530"/>
      <c r="AF22" s="530"/>
      <c r="AG22" s="530"/>
      <c r="AH22" s="531"/>
    </row>
    <row r="23" spans="2:34" ht="14.4" x14ac:dyDescent="0.3">
      <c r="B23" s="510"/>
      <c r="C23" s="511"/>
      <c r="D23" s="511"/>
      <c r="E23" s="511"/>
      <c r="F23" s="511"/>
      <c r="G23" s="511"/>
      <c r="H23" s="512"/>
      <c r="J23" s="519"/>
      <c r="K23" s="520"/>
      <c r="L23" s="520"/>
      <c r="M23" s="520"/>
      <c r="N23" s="520"/>
      <c r="O23" s="520"/>
      <c r="P23" s="520"/>
      <c r="Q23" s="520"/>
      <c r="R23" s="520"/>
      <c r="S23" s="520"/>
      <c r="T23" s="520"/>
      <c r="U23" s="521"/>
      <c r="W23" s="529"/>
      <c r="X23" s="530"/>
      <c r="Y23" s="530"/>
      <c r="Z23" s="530"/>
      <c r="AA23" s="530"/>
      <c r="AB23" s="530"/>
      <c r="AC23" s="530"/>
      <c r="AD23" s="530"/>
      <c r="AE23" s="530"/>
      <c r="AF23" s="530"/>
      <c r="AG23" s="530"/>
      <c r="AH23" s="531"/>
    </row>
    <row r="24" spans="2:34" ht="15" thickBot="1" x14ac:dyDescent="0.35">
      <c r="B24" s="510"/>
      <c r="C24" s="511"/>
      <c r="D24" s="511"/>
      <c r="E24" s="511"/>
      <c r="F24" s="511"/>
      <c r="G24" s="511"/>
      <c r="H24" s="512"/>
      <c r="J24" s="522"/>
      <c r="K24" s="523"/>
      <c r="L24" s="523"/>
      <c r="M24" s="523"/>
      <c r="N24" s="523"/>
      <c r="O24" s="523"/>
      <c r="P24" s="523"/>
      <c r="Q24" s="523"/>
      <c r="R24" s="523"/>
      <c r="S24" s="523"/>
      <c r="T24" s="523"/>
      <c r="U24" s="524"/>
      <c r="W24" s="532"/>
      <c r="X24" s="533"/>
      <c r="Y24" s="533"/>
      <c r="Z24" s="533"/>
      <c r="AA24" s="533"/>
      <c r="AB24" s="533"/>
      <c r="AC24" s="533"/>
      <c r="AD24" s="533"/>
      <c r="AE24" s="533"/>
      <c r="AF24" s="533"/>
      <c r="AG24" s="533"/>
      <c r="AH24" s="534"/>
    </row>
    <row r="25" spans="2:34" ht="15" thickBot="1" x14ac:dyDescent="0.35">
      <c r="B25" s="510"/>
      <c r="C25" s="511"/>
      <c r="D25" s="511"/>
      <c r="E25" s="511"/>
      <c r="F25" s="511"/>
      <c r="G25" s="511"/>
      <c r="H25" s="512"/>
    </row>
    <row r="26" spans="2:34" ht="14.4" x14ac:dyDescent="0.3">
      <c r="B26" s="510"/>
      <c r="C26" s="511"/>
      <c r="D26" s="511"/>
      <c r="E26" s="511"/>
      <c r="F26" s="511"/>
      <c r="G26" s="511"/>
      <c r="H26" s="512"/>
      <c r="J26" s="516"/>
      <c r="K26" s="517"/>
      <c r="L26" s="517"/>
      <c r="M26" s="517"/>
      <c r="N26" s="517"/>
      <c r="O26" s="517"/>
      <c r="P26" s="517"/>
      <c r="Q26" s="517"/>
      <c r="R26" s="517"/>
      <c r="S26" s="517"/>
      <c r="T26" s="517"/>
      <c r="U26" s="518"/>
      <c r="W26" s="526"/>
      <c r="X26" s="527"/>
      <c r="Y26" s="527"/>
      <c r="Z26" s="527"/>
      <c r="AA26" s="527"/>
      <c r="AB26" s="527"/>
      <c r="AC26" s="527"/>
      <c r="AD26" s="527"/>
      <c r="AE26" s="527"/>
      <c r="AF26" s="527"/>
      <c r="AG26" s="527"/>
      <c r="AH26" s="528"/>
    </row>
    <row r="27" spans="2:34" ht="14.4" x14ac:dyDescent="0.3">
      <c r="B27" s="510"/>
      <c r="C27" s="511"/>
      <c r="D27" s="511"/>
      <c r="E27" s="511"/>
      <c r="F27" s="511"/>
      <c r="G27" s="511"/>
      <c r="H27" s="512"/>
      <c r="J27" s="519"/>
      <c r="K27" s="520"/>
      <c r="L27" s="520"/>
      <c r="M27" s="520"/>
      <c r="N27" s="520"/>
      <c r="O27" s="520"/>
      <c r="P27" s="520"/>
      <c r="Q27" s="520"/>
      <c r="R27" s="520"/>
      <c r="S27" s="520"/>
      <c r="T27" s="520"/>
      <c r="U27" s="521"/>
      <c r="W27" s="529"/>
      <c r="X27" s="530"/>
      <c r="Y27" s="530"/>
      <c r="Z27" s="530"/>
      <c r="AA27" s="530"/>
      <c r="AB27" s="530"/>
      <c r="AC27" s="530"/>
      <c r="AD27" s="530"/>
      <c r="AE27" s="530"/>
      <c r="AF27" s="530"/>
      <c r="AG27" s="530"/>
      <c r="AH27" s="531"/>
    </row>
    <row r="28" spans="2:34" ht="14.4" x14ac:dyDescent="0.3">
      <c r="B28" s="510"/>
      <c r="C28" s="511"/>
      <c r="D28" s="511"/>
      <c r="E28" s="511"/>
      <c r="F28" s="511"/>
      <c r="G28" s="511"/>
      <c r="H28" s="512"/>
      <c r="J28" s="519"/>
      <c r="K28" s="520"/>
      <c r="L28" s="520"/>
      <c r="M28" s="520"/>
      <c r="N28" s="520"/>
      <c r="O28" s="520"/>
      <c r="P28" s="520"/>
      <c r="Q28" s="520"/>
      <c r="R28" s="520"/>
      <c r="S28" s="520"/>
      <c r="T28" s="520"/>
      <c r="U28" s="521"/>
      <c r="W28" s="529"/>
      <c r="X28" s="530"/>
      <c r="Y28" s="530"/>
      <c r="Z28" s="530"/>
      <c r="AA28" s="530"/>
      <c r="AB28" s="530"/>
      <c r="AC28" s="530"/>
      <c r="AD28" s="530"/>
      <c r="AE28" s="530"/>
      <c r="AF28" s="530"/>
      <c r="AG28" s="530"/>
      <c r="AH28" s="531"/>
    </row>
    <row r="29" spans="2:34" ht="14.4" x14ac:dyDescent="0.3">
      <c r="B29" s="510"/>
      <c r="C29" s="511"/>
      <c r="D29" s="511"/>
      <c r="E29" s="511"/>
      <c r="F29" s="511"/>
      <c r="G29" s="511"/>
      <c r="H29" s="512"/>
      <c r="J29" s="519"/>
      <c r="K29" s="520"/>
      <c r="L29" s="520"/>
      <c r="M29" s="520"/>
      <c r="N29" s="520"/>
      <c r="O29" s="520"/>
      <c r="P29" s="520"/>
      <c r="Q29" s="520"/>
      <c r="R29" s="520"/>
      <c r="S29" s="520"/>
      <c r="T29" s="520"/>
      <c r="U29" s="521"/>
      <c r="W29" s="529"/>
      <c r="X29" s="530"/>
      <c r="Y29" s="530"/>
      <c r="Z29" s="530"/>
      <c r="AA29" s="530"/>
      <c r="AB29" s="530"/>
      <c r="AC29" s="530"/>
      <c r="AD29" s="530"/>
      <c r="AE29" s="530"/>
      <c r="AF29" s="530"/>
      <c r="AG29" s="530"/>
      <c r="AH29" s="531"/>
    </row>
    <row r="30" spans="2:34" ht="14.4" x14ac:dyDescent="0.3">
      <c r="B30" s="510"/>
      <c r="C30" s="511"/>
      <c r="D30" s="511"/>
      <c r="E30" s="511"/>
      <c r="F30" s="511"/>
      <c r="G30" s="511"/>
      <c r="H30" s="512"/>
      <c r="J30" s="519"/>
      <c r="K30" s="520"/>
      <c r="L30" s="520"/>
      <c r="M30" s="520"/>
      <c r="N30" s="520"/>
      <c r="O30" s="520"/>
      <c r="P30" s="520"/>
      <c r="Q30" s="520"/>
      <c r="R30" s="520"/>
      <c r="S30" s="520"/>
      <c r="T30" s="520"/>
      <c r="U30" s="521"/>
      <c r="W30" s="529"/>
      <c r="X30" s="530"/>
      <c r="Y30" s="530"/>
      <c r="Z30" s="530"/>
      <c r="AA30" s="530"/>
      <c r="AB30" s="530"/>
      <c r="AC30" s="530"/>
      <c r="AD30" s="530"/>
      <c r="AE30" s="530"/>
      <c r="AF30" s="530"/>
      <c r="AG30" s="530"/>
      <c r="AH30" s="531"/>
    </row>
    <row r="31" spans="2:34" ht="14.4" x14ac:dyDescent="0.3">
      <c r="B31" s="510"/>
      <c r="C31" s="511"/>
      <c r="D31" s="511"/>
      <c r="E31" s="511"/>
      <c r="F31" s="511"/>
      <c r="G31" s="511"/>
      <c r="H31" s="512"/>
      <c r="J31" s="519"/>
      <c r="K31" s="520"/>
      <c r="L31" s="520"/>
      <c r="M31" s="520"/>
      <c r="N31" s="520"/>
      <c r="O31" s="520"/>
      <c r="P31" s="520"/>
      <c r="Q31" s="520"/>
      <c r="R31" s="520"/>
      <c r="S31" s="520"/>
      <c r="T31" s="520"/>
      <c r="U31" s="521"/>
      <c r="W31" s="529"/>
      <c r="X31" s="530"/>
      <c r="Y31" s="530"/>
      <c r="Z31" s="530"/>
      <c r="AA31" s="530"/>
      <c r="AB31" s="530"/>
      <c r="AC31" s="530"/>
      <c r="AD31" s="530"/>
      <c r="AE31" s="530"/>
      <c r="AF31" s="530"/>
      <c r="AG31" s="530"/>
      <c r="AH31" s="531"/>
    </row>
    <row r="32" spans="2:34" ht="15" thickBot="1" x14ac:dyDescent="0.35">
      <c r="B32" s="513"/>
      <c r="C32" s="514"/>
      <c r="D32" s="514"/>
      <c r="E32" s="514"/>
      <c r="F32" s="514"/>
      <c r="G32" s="514"/>
      <c r="H32" s="515"/>
      <c r="J32" s="519"/>
      <c r="K32" s="520"/>
      <c r="L32" s="520"/>
      <c r="M32" s="520"/>
      <c r="N32" s="520"/>
      <c r="O32" s="520"/>
      <c r="P32" s="520"/>
      <c r="Q32" s="520"/>
      <c r="R32" s="520"/>
      <c r="S32" s="520"/>
      <c r="T32" s="520"/>
      <c r="U32" s="521"/>
      <c r="W32" s="529"/>
      <c r="X32" s="530"/>
      <c r="Y32" s="530"/>
      <c r="Z32" s="530"/>
      <c r="AA32" s="530"/>
      <c r="AB32" s="530"/>
      <c r="AC32" s="530"/>
      <c r="AD32" s="530"/>
      <c r="AE32" s="530"/>
      <c r="AF32" s="530"/>
      <c r="AG32" s="530"/>
      <c r="AH32" s="531"/>
    </row>
    <row r="33" spans="10:34" ht="14.4" x14ac:dyDescent="0.3">
      <c r="J33" s="519"/>
      <c r="K33" s="520"/>
      <c r="L33" s="520"/>
      <c r="M33" s="520"/>
      <c r="N33" s="520"/>
      <c r="O33" s="520"/>
      <c r="P33" s="520"/>
      <c r="Q33" s="520"/>
      <c r="R33" s="520"/>
      <c r="S33" s="520"/>
      <c r="T33" s="520"/>
      <c r="U33" s="521"/>
      <c r="W33" s="529"/>
      <c r="X33" s="530"/>
      <c r="Y33" s="530"/>
      <c r="Z33" s="530"/>
      <c r="AA33" s="530"/>
      <c r="AB33" s="530"/>
      <c r="AC33" s="530"/>
      <c r="AD33" s="530"/>
      <c r="AE33" s="530"/>
      <c r="AF33" s="530"/>
      <c r="AG33" s="530"/>
      <c r="AH33" s="531"/>
    </row>
    <row r="34" spans="10:34" ht="14.4" x14ac:dyDescent="0.3">
      <c r="J34" s="519"/>
      <c r="K34" s="520"/>
      <c r="L34" s="520"/>
      <c r="M34" s="520"/>
      <c r="N34" s="520"/>
      <c r="O34" s="520"/>
      <c r="P34" s="520"/>
      <c r="Q34" s="520"/>
      <c r="R34" s="520"/>
      <c r="S34" s="520"/>
      <c r="T34" s="520"/>
      <c r="U34" s="521"/>
      <c r="W34" s="529"/>
      <c r="X34" s="530"/>
      <c r="Y34" s="530"/>
      <c r="Z34" s="530"/>
      <c r="AA34" s="530"/>
      <c r="AB34" s="530"/>
      <c r="AC34" s="530"/>
      <c r="AD34" s="530"/>
      <c r="AE34" s="530"/>
      <c r="AF34" s="530"/>
      <c r="AG34" s="530"/>
      <c r="AH34" s="531"/>
    </row>
    <row r="35" spans="10:34" ht="14.4" x14ac:dyDescent="0.3">
      <c r="J35" s="519"/>
      <c r="K35" s="520"/>
      <c r="L35" s="520"/>
      <c r="M35" s="520"/>
      <c r="N35" s="520"/>
      <c r="O35" s="520"/>
      <c r="P35" s="520"/>
      <c r="Q35" s="520"/>
      <c r="R35" s="520"/>
      <c r="S35" s="520"/>
      <c r="T35" s="520"/>
      <c r="U35" s="521"/>
      <c r="W35" s="529"/>
      <c r="X35" s="530"/>
      <c r="Y35" s="530"/>
      <c r="Z35" s="530"/>
      <c r="AA35" s="530"/>
      <c r="AB35" s="530"/>
      <c r="AC35" s="530"/>
      <c r="AD35" s="530"/>
      <c r="AE35" s="530"/>
      <c r="AF35" s="530"/>
      <c r="AG35" s="530"/>
      <c r="AH35" s="531"/>
    </row>
    <row r="36" spans="10:34" ht="14.4" x14ac:dyDescent="0.3">
      <c r="J36" s="519"/>
      <c r="K36" s="520"/>
      <c r="L36" s="520"/>
      <c r="M36" s="520"/>
      <c r="N36" s="520"/>
      <c r="O36" s="520"/>
      <c r="P36" s="520"/>
      <c r="Q36" s="520"/>
      <c r="R36" s="520"/>
      <c r="S36" s="520"/>
      <c r="T36" s="520"/>
      <c r="U36" s="521"/>
      <c r="W36" s="529"/>
      <c r="X36" s="530"/>
      <c r="Y36" s="530"/>
      <c r="Z36" s="530"/>
      <c r="AA36" s="530"/>
      <c r="AB36" s="530"/>
      <c r="AC36" s="530"/>
      <c r="AD36" s="530"/>
      <c r="AE36" s="530"/>
      <c r="AF36" s="530"/>
      <c r="AG36" s="530"/>
      <c r="AH36" s="531"/>
    </row>
    <row r="37" spans="10:34" ht="14.4" x14ac:dyDescent="0.3">
      <c r="J37" s="519"/>
      <c r="K37" s="520"/>
      <c r="L37" s="520"/>
      <c r="M37" s="520"/>
      <c r="N37" s="520"/>
      <c r="O37" s="520"/>
      <c r="P37" s="520"/>
      <c r="Q37" s="520"/>
      <c r="R37" s="520"/>
      <c r="S37" s="520"/>
      <c r="T37" s="520"/>
      <c r="U37" s="521"/>
      <c r="W37" s="529"/>
      <c r="X37" s="530"/>
      <c r="Y37" s="530"/>
      <c r="Z37" s="530"/>
      <c r="AA37" s="530"/>
      <c r="AB37" s="530"/>
      <c r="AC37" s="530"/>
      <c r="AD37" s="530"/>
      <c r="AE37" s="530"/>
      <c r="AF37" s="530"/>
      <c r="AG37" s="530"/>
      <c r="AH37" s="531"/>
    </row>
    <row r="38" spans="10:34" ht="14.4" x14ac:dyDescent="0.3">
      <c r="J38" s="519"/>
      <c r="K38" s="520"/>
      <c r="L38" s="520"/>
      <c r="M38" s="520"/>
      <c r="N38" s="520"/>
      <c r="O38" s="520"/>
      <c r="P38" s="520"/>
      <c r="Q38" s="520"/>
      <c r="R38" s="520"/>
      <c r="S38" s="520"/>
      <c r="T38" s="520"/>
      <c r="U38" s="521"/>
      <c r="W38" s="529"/>
      <c r="X38" s="530"/>
      <c r="Y38" s="530"/>
      <c r="Z38" s="530"/>
      <c r="AA38" s="530"/>
      <c r="AB38" s="530"/>
      <c r="AC38" s="530"/>
      <c r="AD38" s="530"/>
      <c r="AE38" s="530"/>
      <c r="AF38" s="530"/>
      <c r="AG38" s="530"/>
      <c r="AH38" s="531"/>
    </row>
    <row r="39" spans="10:34" ht="14.4" x14ac:dyDescent="0.3">
      <c r="J39" s="519"/>
      <c r="K39" s="520"/>
      <c r="L39" s="520"/>
      <c r="M39" s="520"/>
      <c r="N39" s="520"/>
      <c r="O39" s="520"/>
      <c r="P39" s="520"/>
      <c r="Q39" s="520"/>
      <c r="R39" s="520"/>
      <c r="S39" s="520"/>
      <c r="T39" s="520"/>
      <c r="U39" s="521"/>
      <c r="W39" s="529"/>
      <c r="X39" s="530"/>
      <c r="Y39" s="530"/>
      <c r="Z39" s="530"/>
      <c r="AA39" s="530"/>
      <c r="AB39" s="530"/>
      <c r="AC39" s="530"/>
      <c r="AD39" s="530"/>
      <c r="AE39" s="530"/>
      <c r="AF39" s="530"/>
      <c r="AG39" s="530"/>
      <c r="AH39" s="531"/>
    </row>
    <row r="40" spans="10:34" ht="14.4" x14ac:dyDescent="0.3">
      <c r="J40" s="519"/>
      <c r="K40" s="520"/>
      <c r="L40" s="520"/>
      <c r="M40" s="520"/>
      <c r="N40" s="520"/>
      <c r="O40" s="520"/>
      <c r="P40" s="520"/>
      <c r="Q40" s="520"/>
      <c r="R40" s="520"/>
      <c r="S40" s="520"/>
      <c r="T40" s="520"/>
      <c r="U40" s="521"/>
      <c r="W40" s="529"/>
      <c r="X40" s="530"/>
      <c r="Y40" s="530"/>
      <c r="Z40" s="530"/>
      <c r="AA40" s="530"/>
      <c r="AB40" s="530"/>
      <c r="AC40" s="530"/>
      <c r="AD40" s="530"/>
      <c r="AE40" s="530"/>
      <c r="AF40" s="530"/>
      <c r="AG40" s="530"/>
      <c r="AH40" s="531"/>
    </row>
    <row r="41" spans="10:34" ht="14.4" x14ac:dyDescent="0.3">
      <c r="J41" s="519"/>
      <c r="K41" s="520"/>
      <c r="L41" s="520"/>
      <c r="M41" s="520"/>
      <c r="N41" s="520"/>
      <c r="O41" s="520"/>
      <c r="P41" s="520"/>
      <c r="Q41" s="520"/>
      <c r="R41" s="520"/>
      <c r="S41" s="520"/>
      <c r="T41" s="520"/>
      <c r="U41" s="521"/>
      <c r="W41" s="529"/>
      <c r="X41" s="530"/>
      <c r="Y41" s="530"/>
      <c r="Z41" s="530"/>
      <c r="AA41" s="530"/>
      <c r="AB41" s="530"/>
      <c r="AC41" s="530"/>
      <c r="AD41" s="530"/>
      <c r="AE41" s="530"/>
      <c r="AF41" s="530"/>
      <c r="AG41" s="530"/>
      <c r="AH41" s="531"/>
    </row>
    <row r="42" spans="10:34" ht="14.4" x14ac:dyDescent="0.3">
      <c r="J42" s="519"/>
      <c r="K42" s="520"/>
      <c r="L42" s="520"/>
      <c r="M42" s="520"/>
      <c r="N42" s="520"/>
      <c r="O42" s="520"/>
      <c r="P42" s="520"/>
      <c r="Q42" s="520"/>
      <c r="R42" s="520"/>
      <c r="S42" s="520"/>
      <c r="T42" s="520"/>
      <c r="U42" s="521"/>
      <c r="W42" s="529"/>
      <c r="X42" s="530"/>
      <c r="Y42" s="530"/>
      <c r="Z42" s="530"/>
      <c r="AA42" s="530"/>
      <c r="AB42" s="530"/>
      <c r="AC42" s="530"/>
      <c r="AD42" s="530"/>
      <c r="AE42" s="530"/>
      <c r="AF42" s="530"/>
      <c r="AG42" s="530"/>
      <c r="AH42" s="531"/>
    </row>
    <row r="43" spans="10:34" ht="14.4" x14ac:dyDescent="0.3">
      <c r="J43" s="519"/>
      <c r="K43" s="520"/>
      <c r="L43" s="520"/>
      <c r="M43" s="520"/>
      <c r="N43" s="520"/>
      <c r="O43" s="520"/>
      <c r="P43" s="520"/>
      <c r="Q43" s="520"/>
      <c r="R43" s="520"/>
      <c r="S43" s="520"/>
      <c r="T43" s="520"/>
      <c r="U43" s="521"/>
      <c r="W43" s="529"/>
      <c r="X43" s="530"/>
      <c r="Y43" s="530"/>
      <c r="Z43" s="530"/>
      <c r="AA43" s="530"/>
      <c r="AB43" s="530"/>
      <c r="AC43" s="530"/>
      <c r="AD43" s="530"/>
      <c r="AE43" s="530"/>
      <c r="AF43" s="530"/>
      <c r="AG43" s="530"/>
      <c r="AH43" s="531"/>
    </row>
    <row r="44" spans="10:34" ht="14.4" x14ac:dyDescent="0.3">
      <c r="J44" s="519"/>
      <c r="K44" s="520"/>
      <c r="L44" s="520"/>
      <c r="M44" s="520"/>
      <c r="N44" s="520"/>
      <c r="O44" s="520"/>
      <c r="P44" s="520"/>
      <c r="Q44" s="520"/>
      <c r="R44" s="520"/>
      <c r="S44" s="520"/>
      <c r="T44" s="520"/>
      <c r="U44" s="521"/>
      <c r="W44" s="529"/>
      <c r="X44" s="530"/>
      <c r="Y44" s="530"/>
      <c r="Z44" s="530"/>
      <c r="AA44" s="530"/>
      <c r="AB44" s="530"/>
      <c r="AC44" s="530"/>
      <c r="AD44" s="530"/>
      <c r="AE44" s="530"/>
      <c r="AF44" s="530"/>
      <c r="AG44" s="530"/>
      <c r="AH44" s="531"/>
    </row>
    <row r="45" spans="10:34" ht="14.4" x14ac:dyDescent="0.3">
      <c r="J45" s="519"/>
      <c r="K45" s="520"/>
      <c r="L45" s="520"/>
      <c r="M45" s="520"/>
      <c r="N45" s="520"/>
      <c r="O45" s="520"/>
      <c r="P45" s="520"/>
      <c r="Q45" s="520"/>
      <c r="R45" s="520"/>
      <c r="S45" s="520"/>
      <c r="T45" s="520"/>
      <c r="U45" s="521"/>
      <c r="W45" s="529"/>
      <c r="X45" s="530"/>
      <c r="Y45" s="530"/>
      <c r="Z45" s="530"/>
      <c r="AA45" s="530"/>
      <c r="AB45" s="530"/>
      <c r="AC45" s="530"/>
      <c r="AD45" s="530"/>
      <c r="AE45" s="530"/>
      <c r="AF45" s="530"/>
      <c r="AG45" s="530"/>
      <c r="AH45" s="531"/>
    </row>
    <row r="46" spans="10:34" ht="14.4" x14ac:dyDescent="0.3">
      <c r="J46" s="519"/>
      <c r="K46" s="520"/>
      <c r="L46" s="520"/>
      <c r="M46" s="520"/>
      <c r="N46" s="520"/>
      <c r="O46" s="520"/>
      <c r="P46" s="520"/>
      <c r="Q46" s="520"/>
      <c r="R46" s="520"/>
      <c r="S46" s="520"/>
      <c r="T46" s="520"/>
      <c r="U46" s="521"/>
      <c r="W46" s="529"/>
      <c r="X46" s="530"/>
      <c r="Y46" s="530"/>
      <c r="Z46" s="530"/>
      <c r="AA46" s="530"/>
      <c r="AB46" s="530"/>
      <c r="AC46" s="530"/>
      <c r="AD46" s="530"/>
      <c r="AE46" s="530"/>
      <c r="AF46" s="530"/>
      <c r="AG46" s="530"/>
      <c r="AH46" s="531"/>
    </row>
    <row r="47" spans="10:34" ht="14.4" x14ac:dyDescent="0.3">
      <c r="J47" s="519"/>
      <c r="K47" s="520"/>
      <c r="L47" s="520"/>
      <c r="M47" s="520"/>
      <c r="N47" s="520"/>
      <c r="O47" s="520"/>
      <c r="P47" s="520"/>
      <c r="Q47" s="520"/>
      <c r="R47" s="520"/>
      <c r="S47" s="520"/>
      <c r="T47" s="520"/>
      <c r="U47" s="521"/>
      <c r="W47" s="529"/>
      <c r="X47" s="530"/>
      <c r="Y47" s="530"/>
      <c r="Z47" s="530"/>
      <c r="AA47" s="530"/>
      <c r="AB47" s="530"/>
      <c r="AC47" s="530"/>
      <c r="AD47" s="530"/>
      <c r="AE47" s="530"/>
      <c r="AF47" s="530"/>
      <c r="AG47" s="530"/>
      <c r="AH47" s="531"/>
    </row>
    <row r="48" spans="10:34" ht="15" thickBot="1" x14ac:dyDescent="0.35">
      <c r="J48" s="522"/>
      <c r="K48" s="523"/>
      <c r="L48" s="523"/>
      <c r="M48" s="523"/>
      <c r="N48" s="523"/>
      <c r="O48" s="523"/>
      <c r="P48" s="523"/>
      <c r="Q48" s="523"/>
      <c r="R48" s="523"/>
      <c r="S48" s="523"/>
      <c r="T48" s="523"/>
      <c r="U48" s="524"/>
      <c r="W48" s="532"/>
      <c r="X48" s="533"/>
      <c r="Y48" s="533"/>
      <c r="Z48" s="533"/>
      <c r="AA48" s="533"/>
      <c r="AB48" s="533"/>
      <c r="AC48" s="533"/>
      <c r="AD48" s="533"/>
      <c r="AE48" s="533"/>
      <c r="AF48" s="533"/>
      <c r="AG48" s="533"/>
      <c r="AH48" s="534"/>
    </row>
    <row r="50" spans="10:32" ht="13.8" thickBot="1" x14ac:dyDescent="0.3"/>
    <row r="51" spans="10:32" ht="14.4" x14ac:dyDescent="0.3">
      <c r="J51" s="516"/>
      <c r="K51" s="517"/>
      <c r="L51" s="517"/>
      <c r="M51" s="517"/>
      <c r="N51" s="517"/>
      <c r="O51" s="517"/>
      <c r="P51" s="517"/>
      <c r="Q51" s="517"/>
      <c r="R51" s="517"/>
      <c r="S51" s="517"/>
      <c r="T51" s="517"/>
      <c r="U51" s="518"/>
      <c r="W51" s="537"/>
      <c r="X51" s="538"/>
      <c r="Y51" s="538"/>
      <c r="Z51" s="538"/>
      <c r="AA51" s="538"/>
      <c r="AB51" s="538"/>
      <c r="AC51" s="538"/>
      <c r="AD51" s="538"/>
      <c r="AE51" s="538"/>
      <c r="AF51" s="539"/>
    </row>
    <row r="52" spans="10:32" ht="14.4" x14ac:dyDescent="0.3">
      <c r="J52" s="519"/>
      <c r="K52" s="520"/>
      <c r="L52" s="520"/>
      <c r="M52" s="520"/>
      <c r="N52" s="520"/>
      <c r="O52" s="520"/>
      <c r="P52" s="520"/>
      <c r="Q52" s="520"/>
      <c r="R52" s="520"/>
      <c r="S52" s="520"/>
      <c r="T52" s="520"/>
      <c r="U52" s="521"/>
      <c r="W52" s="540"/>
      <c r="X52" s="541"/>
      <c r="Y52" s="541"/>
      <c r="Z52" s="541"/>
      <c r="AA52" s="541"/>
      <c r="AB52" s="541"/>
      <c r="AC52" s="541"/>
      <c r="AD52" s="541"/>
      <c r="AE52" s="541"/>
      <c r="AF52" s="542"/>
    </row>
    <row r="53" spans="10:32" ht="14.4" x14ac:dyDescent="0.3">
      <c r="J53" s="519"/>
      <c r="K53" s="520"/>
      <c r="L53" s="520"/>
      <c r="M53" s="520"/>
      <c r="N53" s="520"/>
      <c r="O53" s="520"/>
      <c r="P53" s="520"/>
      <c r="Q53" s="520"/>
      <c r="R53" s="520"/>
      <c r="S53" s="520"/>
      <c r="T53" s="520"/>
      <c r="U53" s="521"/>
      <c r="W53" s="540"/>
      <c r="X53" s="541"/>
      <c r="Y53" s="541"/>
      <c r="Z53" s="541"/>
      <c r="AA53" s="541"/>
      <c r="AB53" s="541"/>
      <c r="AC53" s="541"/>
      <c r="AD53" s="541"/>
      <c r="AE53" s="541"/>
      <c r="AF53" s="542"/>
    </row>
    <row r="54" spans="10:32" ht="14.4" x14ac:dyDescent="0.3">
      <c r="J54" s="519"/>
      <c r="K54" s="520"/>
      <c r="L54" s="520"/>
      <c r="M54" s="520"/>
      <c r="N54" s="520"/>
      <c r="O54" s="520"/>
      <c r="P54" s="520"/>
      <c r="Q54" s="520"/>
      <c r="R54" s="520"/>
      <c r="S54" s="520"/>
      <c r="T54" s="520"/>
      <c r="U54" s="521"/>
      <c r="W54" s="540"/>
      <c r="X54" s="541"/>
      <c r="Y54" s="541"/>
      <c r="Z54" s="541"/>
      <c r="AA54" s="541"/>
      <c r="AB54" s="541"/>
      <c r="AC54" s="541"/>
      <c r="AD54" s="541"/>
      <c r="AE54" s="541"/>
      <c r="AF54" s="542"/>
    </row>
    <row r="55" spans="10:32" ht="14.4" x14ac:dyDescent="0.3">
      <c r="J55" s="519"/>
      <c r="K55" s="520"/>
      <c r="L55" s="520"/>
      <c r="M55" s="520"/>
      <c r="N55" s="520"/>
      <c r="O55" s="520"/>
      <c r="P55" s="520"/>
      <c r="Q55" s="520"/>
      <c r="R55" s="520"/>
      <c r="S55" s="520"/>
      <c r="T55" s="520"/>
      <c r="U55" s="521"/>
      <c r="W55" s="540"/>
      <c r="X55" s="541"/>
      <c r="Y55" s="541"/>
      <c r="Z55" s="541"/>
      <c r="AA55" s="541"/>
      <c r="AB55" s="541"/>
      <c r="AC55" s="541"/>
      <c r="AD55" s="541"/>
      <c r="AE55" s="541"/>
      <c r="AF55" s="542"/>
    </row>
    <row r="56" spans="10:32" ht="14.4" x14ac:dyDescent="0.3">
      <c r="J56" s="519"/>
      <c r="K56" s="520"/>
      <c r="L56" s="520"/>
      <c r="M56" s="520"/>
      <c r="N56" s="520"/>
      <c r="O56" s="520"/>
      <c r="P56" s="520"/>
      <c r="Q56" s="520"/>
      <c r="R56" s="520"/>
      <c r="S56" s="520"/>
      <c r="T56" s="520"/>
      <c r="U56" s="521"/>
      <c r="W56" s="540"/>
      <c r="X56" s="541"/>
      <c r="Y56" s="541"/>
      <c r="Z56" s="541"/>
      <c r="AA56" s="541"/>
      <c r="AB56" s="541"/>
      <c r="AC56" s="541"/>
      <c r="AD56" s="541"/>
      <c r="AE56" s="541"/>
      <c r="AF56" s="542"/>
    </row>
    <row r="57" spans="10:32" ht="14.4" x14ac:dyDescent="0.3">
      <c r="J57" s="519"/>
      <c r="K57" s="520"/>
      <c r="L57" s="520"/>
      <c r="M57" s="520"/>
      <c r="N57" s="520"/>
      <c r="O57" s="520"/>
      <c r="P57" s="520"/>
      <c r="Q57" s="520"/>
      <c r="R57" s="520"/>
      <c r="S57" s="520"/>
      <c r="T57" s="520"/>
      <c r="U57" s="521"/>
      <c r="W57" s="540"/>
      <c r="X57" s="541"/>
      <c r="Y57" s="541"/>
      <c r="Z57" s="541"/>
      <c r="AA57" s="541"/>
      <c r="AB57" s="541"/>
      <c r="AC57" s="541"/>
      <c r="AD57" s="541"/>
      <c r="AE57" s="541"/>
      <c r="AF57" s="542"/>
    </row>
    <row r="58" spans="10:32" ht="14.4" x14ac:dyDescent="0.3">
      <c r="J58" s="519"/>
      <c r="K58" s="520"/>
      <c r="L58" s="520"/>
      <c r="M58" s="520"/>
      <c r="N58" s="520"/>
      <c r="O58" s="520"/>
      <c r="P58" s="520"/>
      <c r="Q58" s="520"/>
      <c r="R58" s="520"/>
      <c r="S58" s="520"/>
      <c r="T58" s="520"/>
      <c r="U58" s="521"/>
      <c r="W58" s="540"/>
      <c r="X58" s="541"/>
      <c r="Y58" s="541"/>
      <c r="Z58" s="541"/>
      <c r="AA58" s="541"/>
      <c r="AB58" s="541"/>
      <c r="AC58" s="541"/>
      <c r="AD58" s="541"/>
      <c r="AE58" s="541"/>
      <c r="AF58" s="542"/>
    </row>
    <row r="59" spans="10:32" ht="14.4" x14ac:dyDescent="0.3">
      <c r="J59" s="519"/>
      <c r="K59" s="520"/>
      <c r="L59" s="520"/>
      <c r="M59" s="520"/>
      <c r="N59" s="520"/>
      <c r="O59" s="520"/>
      <c r="P59" s="520"/>
      <c r="Q59" s="520"/>
      <c r="R59" s="520"/>
      <c r="S59" s="520"/>
      <c r="T59" s="520"/>
      <c r="U59" s="521"/>
      <c r="W59" s="540"/>
      <c r="X59" s="541"/>
      <c r="Y59" s="541"/>
      <c r="Z59" s="541"/>
      <c r="AA59" s="541"/>
      <c r="AB59" s="541"/>
      <c r="AC59" s="541"/>
      <c r="AD59" s="541"/>
      <c r="AE59" s="541"/>
      <c r="AF59" s="542"/>
    </row>
    <row r="60" spans="10:32" ht="14.4" x14ac:dyDescent="0.3">
      <c r="J60" s="519"/>
      <c r="K60" s="520"/>
      <c r="L60" s="520"/>
      <c r="M60" s="520"/>
      <c r="N60" s="520"/>
      <c r="O60" s="520"/>
      <c r="P60" s="520"/>
      <c r="Q60" s="520"/>
      <c r="R60" s="520"/>
      <c r="S60" s="520"/>
      <c r="T60" s="520"/>
      <c r="U60" s="521"/>
      <c r="W60" s="540"/>
      <c r="X60" s="541"/>
      <c r="Y60" s="541"/>
      <c r="Z60" s="541"/>
      <c r="AA60" s="541"/>
      <c r="AB60" s="541"/>
      <c r="AC60" s="541"/>
      <c r="AD60" s="541"/>
      <c r="AE60" s="541"/>
      <c r="AF60" s="542"/>
    </row>
    <row r="61" spans="10:32" ht="14.4" x14ac:dyDescent="0.3">
      <c r="J61" s="519"/>
      <c r="K61" s="520"/>
      <c r="L61" s="520"/>
      <c r="M61" s="520"/>
      <c r="N61" s="520"/>
      <c r="O61" s="520"/>
      <c r="P61" s="520"/>
      <c r="Q61" s="520"/>
      <c r="R61" s="520"/>
      <c r="S61" s="520"/>
      <c r="T61" s="520"/>
      <c r="U61" s="521"/>
      <c r="W61" s="540"/>
      <c r="X61" s="541"/>
      <c r="Y61" s="541"/>
      <c r="Z61" s="541"/>
      <c r="AA61" s="541"/>
      <c r="AB61" s="541"/>
      <c r="AC61" s="541"/>
      <c r="AD61" s="541"/>
      <c r="AE61" s="541"/>
      <c r="AF61" s="542"/>
    </row>
    <row r="62" spans="10:32" ht="14.4" x14ac:dyDescent="0.3">
      <c r="J62" s="519"/>
      <c r="K62" s="520"/>
      <c r="L62" s="520"/>
      <c r="M62" s="520"/>
      <c r="N62" s="520"/>
      <c r="O62" s="520"/>
      <c r="P62" s="520"/>
      <c r="Q62" s="520"/>
      <c r="R62" s="520"/>
      <c r="S62" s="520"/>
      <c r="T62" s="520"/>
      <c r="U62" s="521"/>
      <c r="W62" s="540"/>
      <c r="X62" s="541"/>
      <c r="Y62" s="541"/>
      <c r="Z62" s="541"/>
      <c r="AA62" s="541"/>
      <c r="AB62" s="541"/>
      <c r="AC62" s="541"/>
      <c r="AD62" s="541"/>
      <c r="AE62" s="541"/>
      <c r="AF62" s="542"/>
    </row>
    <row r="63" spans="10:32" ht="14.4" x14ac:dyDescent="0.3">
      <c r="J63" s="519"/>
      <c r="K63" s="520"/>
      <c r="L63" s="520"/>
      <c r="M63" s="520"/>
      <c r="N63" s="520"/>
      <c r="O63" s="520"/>
      <c r="P63" s="520"/>
      <c r="Q63" s="520"/>
      <c r="R63" s="520"/>
      <c r="S63" s="520"/>
      <c r="T63" s="520"/>
      <c r="U63" s="521"/>
      <c r="W63" s="540"/>
      <c r="X63" s="541"/>
      <c r="Y63" s="541"/>
      <c r="Z63" s="541"/>
      <c r="AA63" s="541"/>
      <c r="AB63" s="541"/>
      <c r="AC63" s="541"/>
      <c r="AD63" s="541"/>
      <c r="AE63" s="541"/>
      <c r="AF63" s="542"/>
    </row>
    <row r="64" spans="10:32" ht="14.4" x14ac:dyDescent="0.3">
      <c r="J64" s="519"/>
      <c r="K64" s="520"/>
      <c r="L64" s="520"/>
      <c r="M64" s="520"/>
      <c r="N64" s="520"/>
      <c r="O64" s="520"/>
      <c r="P64" s="520"/>
      <c r="Q64" s="520"/>
      <c r="R64" s="520"/>
      <c r="S64" s="520"/>
      <c r="T64" s="520"/>
      <c r="U64" s="521"/>
      <c r="W64" s="540"/>
      <c r="X64" s="541"/>
      <c r="Y64" s="541"/>
      <c r="Z64" s="541"/>
      <c r="AA64" s="541"/>
      <c r="AB64" s="541"/>
      <c r="AC64" s="541"/>
      <c r="AD64" s="541"/>
      <c r="AE64" s="541"/>
      <c r="AF64" s="542"/>
    </row>
    <row r="65" spans="10:32" ht="14.4" x14ac:dyDescent="0.3">
      <c r="J65" s="519"/>
      <c r="K65" s="520"/>
      <c r="L65" s="520"/>
      <c r="M65" s="520"/>
      <c r="N65" s="520"/>
      <c r="O65" s="520"/>
      <c r="P65" s="520"/>
      <c r="Q65" s="520"/>
      <c r="R65" s="520"/>
      <c r="S65" s="520"/>
      <c r="T65" s="520"/>
      <c r="U65" s="521"/>
      <c r="W65" s="540"/>
      <c r="X65" s="541"/>
      <c r="Y65" s="541"/>
      <c r="Z65" s="541"/>
      <c r="AA65" s="541"/>
      <c r="AB65" s="541"/>
      <c r="AC65" s="541"/>
      <c r="AD65" s="541"/>
      <c r="AE65" s="541"/>
      <c r="AF65" s="542"/>
    </row>
    <row r="66" spans="10:32" ht="14.4" x14ac:dyDescent="0.3">
      <c r="J66" s="519"/>
      <c r="K66" s="520"/>
      <c r="L66" s="520"/>
      <c r="M66" s="520"/>
      <c r="N66" s="520"/>
      <c r="O66" s="520"/>
      <c r="P66" s="520"/>
      <c r="Q66" s="520"/>
      <c r="R66" s="520"/>
      <c r="S66" s="520"/>
      <c r="T66" s="520"/>
      <c r="U66" s="521"/>
      <c r="W66" s="540"/>
      <c r="X66" s="541"/>
      <c r="Y66" s="541"/>
      <c r="Z66" s="541"/>
      <c r="AA66" s="541"/>
      <c r="AB66" s="541"/>
      <c r="AC66" s="541"/>
      <c r="AD66" s="541"/>
      <c r="AE66" s="541"/>
      <c r="AF66" s="542"/>
    </row>
    <row r="67" spans="10:32" ht="14.4" x14ac:dyDescent="0.3">
      <c r="J67" s="519"/>
      <c r="K67" s="520"/>
      <c r="L67" s="520"/>
      <c r="M67" s="520"/>
      <c r="N67" s="520"/>
      <c r="O67" s="520"/>
      <c r="P67" s="520"/>
      <c r="Q67" s="520"/>
      <c r="R67" s="520"/>
      <c r="S67" s="520"/>
      <c r="T67" s="520"/>
      <c r="U67" s="521"/>
      <c r="W67" s="540"/>
      <c r="X67" s="541"/>
      <c r="Y67" s="541"/>
      <c r="Z67" s="541"/>
      <c r="AA67" s="541"/>
      <c r="AB67" s="541"/>
      <c r="AC67" s="541"/>
      <c r="AD67" s="541"/>
      <c r="AE67" s="541"/>
      <c r="AF67" s="542"/>
    </row>
    <row r="68" spans="10:32" ht="14.4" x14ac:dyDescent="0.3">
      <c r="J68" s="519"/>
      <c r="K68" s="520"/>
      <c r="L68" s="520"/>
      <c r="M68" s="520"/>
      <c r="N68" s="520"/>
      <c r="O68" s="520"/>
      <c r="P68" s="520"/>
      <c r="Q68" s="520"/>
      <c r="R68" s="520"/>
      <c r="S68" s="520"/>
      <c r="T68" s="520"/>
      <c r="U68" s="521"/>
      <c r="W68" s="540"/>
      <c r="X68" s="541"/>
      <c r="Y68" s="541"/>
      <c r="Z68" s="541"/>
      <c r="AA68" s="541"/>
      <c r="AB68" s="541"/>
      <c r="AC68" s="541"/>
      <c r="AD68" s="541"/>
      <c r="AE68" s="541"/>
      <c r="AF68" s="542"/>
    </row>
    <row r="69" spans="10:32" ht="14.4" x14ac:dyDescent="0.3">
      <c r="J69" s="519"/>
      <c r="K69" s="520"/>
      <c r="L69" s="520"/>
      <c r="M69" s="520"/>
      <c r="N69" s="520"/>
      <c r="O69" s="520"/>
      <c r="P69" s="520"/>
      <c r="Q69" s="520"/>
      <c r="R69" s="520"/>
      <c r="S69" s="520"/>
      <c r="T69" s="520"/>
      <c r="U69" s="521"/>
      <c r="W69" s="540"/>
      <c r="X69" s="541"/>
      <c r="Y69" s="541"/>
      <c r="Z69" s="541"/>
      <c r="AA69" s="541"/>
      <c r="AB69" s="541"/>
      <c r="AC69" s="541"/>
      <c r="AD69" s="541"/>
      <c r="AE69" s="541"/>
      <c r="AF69" s="542"/>
    </row>
    <row r="70" spans="10:32" ht="14.4" x14ac:dyDescent="0.3">
      <c r="J70" s="519"/>
      <c r="K70" s="520"/>
      <c r="L70" s="520"/>
      <c r="M70" s="520"/>
      <c r="N70" s="520"/>
      <c r="O70" s="520"/>
      <c r="P70" s="520"/>
      <c r="Q70" s="520"/>
      <c r="R70" s="520"/>
      <c r="S70" s="520"/>
      <c r="T70" s="520"/>
      <c r="U70" s="521"/>
      <c r="W70" s="540"/>
      <c r="X70" s="541"/>
      <c r="Y70" s="541"/>
      <c r="Z70" s="541"/>
      <c r="AA70" s="541"/>
      <c r="AB70" s="541"/>
      <c r="AC70" s="541"/>
      <c r="AD70" s="541"/>
      <c r="AE70" s="541"/>
      <c r="AF70" s="542"/>
    </row>
    <row r="71" spans="10:32" ht="14.4" x14ac:dyDescent="0.3">
      <c r="J71" s="519"/>
      <c r="K71" s="520"/>
      <c r="L71" s="520"/>
      <c r="M71" s="520"/>
      <c r="N71" s="520"/>
      <c r="O71" s="520"/>
      <c r="P71" s="520"/>
      <c r="Q71" s="520"/>
      <c r="R71" s="520"/>
      <c r="S71" s="520"/>
      <c r="T71" s="520"/>
      <c r="U71" s="521"/>
      <c r="W71" s="540"/>
      <c r="X71" s="541"/>
      <c r="Y71" s="541"/>
      <c r="Z71" s="541"/>
      <c r="AA71" s="541"/>
      <c r="AB71" s="541"/>
      <c r="AC71" s="541"/>
      <c r="AD71" s="541"/>
      <c r="AE71" s="541"/>
      <c r="AF71" s="542"/>
    </row>
    <row r="72" spans="10:32" ht="14.4" x14ac:dyDescent="0.3">
      <c r="J72" s="519"/>
      <c r="K72" s="520"/>
      <c r="L72" s="520"/>
      <c r="M72" s="520"/>
      <c r="N72" s="520"/>
      <c r="O72" s="520"/>
      <c r="P72" s="520"/>
      <c r="Q72" s="520"/>
      <c r="R72" s="520"/>
      <c r="S72" s="520"/>
      <c r="T72" s="520"/>
      <c r="U72" s="521"/>
      <c r="W72" s="540"/>
      <c r="X72" s="541"/>
      <c r="Y72" s="541"/>
      <c r="Z72" s="541"/>
      <c r="AA72" s="541"/>
      <c r="AB72" s="541"/>
      <c r="AC72" s="541"/>
      <c r="AD72" s="541"/>
      <c r="AE72" s="541"/>
      <c r="AF72" s="542"/>
    </row>
    <row r="73" spans="10:32" ht="15" thickBot="1" x14ac:dyDescent="0.35">
      <c r="J73" s="522"/>
      <c r="K73" s="523"/>
      <c r="L73" s="523"/>
      <c r="M73" s="523"/>
      <c r="N73" s="523"/>
      <c r="O73" s="523"/>
      <c r="P73" s="523"/>
      <c r="Q73" s="523"/>
      <c r="R73" s="523"/>
      <c r="S73" s="523"/>
      <c r="T73" s="523"/>
      <c r="U73" s="524"/>
      <c r="W73" s="540"/>
      <c r="X73" s="541"/>
      <c r="Y73" s="541"/>
      <c r="Z73" s="541"/>
      <c r="AA73" s="541"/>
      <c r="AB73" s="541"/>
      <c r="AC73" s="541"/>
      <c r="AD73" s="541"/>
      <c r="AE73" s="541"/>
      <c r="AF73" s="542"/>
    </row>
    <row r="74" spans="10:32" ht="14.4" x14ac:dyDescent="0.3">
      <c r="W74" s="540"/>
      <c r="X74" s="541"/>
      <c r="Y74" s="541"/>
      <c r="Z74" s="541"/>
      <c r="AA74" s="541"/>
      <c r="AB74" s="541"/>
      <c r="AC74" s="541"/>
      <c r="AD74" s="541"/>
      <c r="AE74" s="541"/>
      <c r="AF74" s="542"/>
    </row>
    <row r="75" spans="10:32" ht="14.4" x14ac:dyDescent="0.3">
      <c r="W75" s="540"/>
      <c r="X75" s="541"/>
      <c r="Y75" s="541"/>
      <c r="Z75" s="541"/>
      <c r="AA75" s="541"/>
      <c r="AB75" s="541"/>
      <c r="AC75" s="541"/>
      <c r="AD75" s="541"/>
      <c r="AE75" s="541"/>
      <c r="AF75" s="542"/>
    </row>
    <row r="76" spans="10:32" ht="14.4" x14ac:dyDescent="0.3">
      <c r="W76" s="540"/>
      <c r="X76" s="541"/>
      <c r="Y76" s="541"/>
      <c r="Z76" s="541"/>
      <c r="AA76" s="541"/>
      <c r="AB76" s="541"/>
      <c r="AC76" s="541"/>
      <c r="AD76" s="541"/>
      <c r="AE76" s="541"/>
      <c r="AF76" s="542"/>
    </row>
    <row r="77" spans="10:32" ht="14.4" x14ac:dyDescent="0.3">
      <c r="W77" s="540"/>
      <c r="X77" s="541"/>
      <c r="Y77" s="541"/>
      <c r="Z77" s="541"/>
      <c r="AA77" s="541"/>
      <c r="AB77" s="541"/>
      <c r="AC77" s="541"/>
      <c r="AD77" s="541"/>
      <c r="AE77" s="541"/>
      <c r="AF77" s="542"/>
    </row>
    <row r="78" spans="10:32" ht="14.4" x14ac:dyDescent="0.3">
      <c r="W78" s="540"/>
      <c r="X78" s="541"/>
      <c r="Y78" s="541"/>
      <c r="Z78" s="541"/>
      <c r="AA78" s="541"/>
      <c r="AB78" s="541"/>
      <c r="AC78" s="541"/>
      <c r="AD78" s="541"/>
      <c r="AE78" s="541"/>
      <c r="AF78" s="542"/>
    </row>
    <row r="79" spans="10:32" ht="14.4" x14ac:dyDescent="0.3">
      <c r="W79" s="540"/>
      <c r="X79" s="541"/>
      <c r="Y79" s="541"/>
      <c r="Z79" s="541"/>
      <c r="AA79" s="541"/>
      <c r="AB79" s="541"/>
      <c r="AC79" s="541"/>
      <c r="AD79" s="541"/>
      <c r="AE79" s="541"/>
      <c r="AF79" s="542"/>
    </row>
    <row r="80" spans="10:32" ht="15" thickBot="1" x14ac:dyDescent="0.35">
      <c r="W80" s="543"/>
      <c r="X80" s="544"/>
      <c r="Y80" s="544"/>
      <c r="Z80" s="544"/>
      <c r="AA80" s="544"/>
      <c r="AB80" s="544"/>
      <c r="AC80" s="544"/>
      <c r="AD80" s="544"/>
      <c r="AE80" s="544"/>
      <c r="AF80" s="545"/>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indexed="29"/>
  </sheetPr>
  <dimension ref="A1:AC608"/>
  <sheetViews>
    <sheetView topLeftCell="A281" zoomScaleNormal="100" zoomScaleSheetLayoutView="75" workbookViewId="0"/>
  </sheetViews>
  <sheetFormatPr defaultColWidth="9.109375" defaultRowHeight="12.75" customHeight="1" x14ac:dyDescent="0.25"/>
  <cols>
    <col min="1" max="1" width="11.6640625" style="16" customWidth="1"/>
    <col min="2" max="2" width="11.6640625" style="3" customWidth="1"/>
    <col min="3" max="3" width="13.6640625" style="3" customWidth="1"/>
    <col min="4" max="4" width="26.6640625" style="3" customWidth="1"/>
    <col min="5" max="6" width="14.33203125" style="3" customWidth="1"/>
    <col min="7" max="12" width="14.33203125" style="13" customWidth="1"/>
    <col min="13" max="18" width="14.33203125" style="3" customWidth="1"/>
    <col min="19" max="19" width="8.6640625" style="3" customWidth="1"/>
    <col min="20" max="20" width="8.6640625" customWidth="1"/>
    <col min="21" max="16384" width="9.109375" style="3"/>
  </cols>
  <sheetData>
    <row r="1" spans="1:25" customFormat="1" ht="12.75" customHeight="1" x14ac:dyDescent="0.25">
      <c r="A1" s="77" t="s">
        <v>243</v>
      </c>
      <c r="B1" s="3"/>
      <c r="C1" s="6"/>
      <c r="D1" s="6"/>
      <c r="E1" s="3"/>
      <c r="F1" s="13"/>
      <c r="G1" s="13"/>
      <c r="H1" s="13"/>
      <c r="I1" s="4"/>
      <c r="J1" s="4"/>
      <c r="K1" s="4"/>
      <c r="L1" s="4"/>
      <c r="M1" s="4"/>
      <c r="N1" s="4"/>
      <c r="O1" s="63"/>
      <c r="P1" s="63"/>
      <c r="Q1" s="3"/>
      <c r="R1" s="3"/>
      <c r="S1" s="3"/>
    </row>
    <row r="2" spans="1:25" customFormat="1" ht="12.75" customHeight="1" x14ac:dyDescent="0.25">
      <c r="A2" s="77" t="s">
        <v>56</v>
      </c>
      <c r="B2" s="3"/>
      <c r="C2" s="6"/>
      <c r="D2" s="6"/>
      <c r="E2" s="3"/>
      <c r="F2" s="20"/>
      <c r="G2" s="20"/>
      <c r="H2" s="20"/>
      <c r="I2" s="4"/>
      <c r="J2" s="4"/>
      <c r="K2" s="4"/>
      <c r="L2" s="4"/>
      <c r="M2" s="4"/>
      <c r="N2" s="4"/>
      <c r="O2" s="4"/>
      <c r="P2" s="4"/>
      <c r="Q2" s="4"/>
      <c r="R2" s="3"/>
      <c r="S2" s="3"/>
    </row>
    <row r="3" spans="1:25" customFormat="1" ht="12.75" customHeight="1" x14ac:dyDescent="0.25">
      <c r="A3" s="363" t="s">
        <v>67</v>
      </c>
      <c r="B3" s="3"/>
      <c r="C3" s="6"/>
      <c r="D3" s="6"/>
      <c r="E3" s="3"/>
      <c r="F3" s="13"/>
      <c r="G3" s="13"/>
      <c r="H3" s="13"/>
      <c r="I3" s="4"/>
      <c r="J3" s="4"/>
      <c r="K3" s="4"/>
      <c r="L3" s="4"/>
      <c r="M3" s="4"/>
      <c r="N3" s="4"/>
      <c r="O3" s="4"/>
      <c r="P3" s="4"/>
      <c r="Q3" s="4"/>
      <c r="R3" s="3"/>
      <c r="S3" s="3"/>
    </row>
    <row r="4" spans="1:25" customFormat="1" ht="12.75" customHeight="1" thickBot="1" x14ac:dyDescent="0.3">
      <c r="A4" s="78" t="s">
        <v>428</v>
      </c>
      <c r="B4" s="7"/>
      <c r="C4" s="8"/>
      <c r="D4" s="8"/>
      <c r="E4" s="7"/>
      <c r="F4" s="7"/>
      <c r="G4" s="7"/>
      <c r="H4" s="7"/>
      <c r="I4" s="7"/>
      <c r="J4" s="7"/>
      <c r="K4" s="7"/>
      <c r="L4" s="7"/>
      <c r="M4" s="7"/>
      <c r="N4" s="7"/>
      <c r="O4" s="7"/>
      <c r="P4" s="7"/>
      <c r="Q4" s="3"/>
      <c r="R4" s="3"/>
      <c r="S4" s="3"/>
    </row>
    <row r="5" spans="1:25" customFormat="1" ht="12.75" customHeight="1" x14ac:dyDescent="0.25">
      <c r="A5" s="645" t="s">
        <v>215</v>
      </c>
      <c r="B5" s="645"/>
      <c r="C5" s="645"/>
      <c r="D5" s="214"/>
      <c r="E5" s="215">
        <v>2023</v>
      </c>
      <c r="F5" s="215">
        <f t="shared" ref="F5:I5" si="0">E5+1</f>
        <v>2024</v>
      </c>
      <c r="G5" s="216">
        <f t="shared" si="0"/>
        <v>2025</v>
      </c>
      <c r="H5" s="215">
        <f t="shared" si="0"/>
        <v>2026</v>
      </c>
      <c r="I5" s="215">
        <f t="shared" si="0"/>
        <v>2027</v>
      </c>
      <c r="J5" s="215">
        <f t="shared" ref="J5" si="1">I5+1</f>
        <v>2028</v>
      </c>
      <c r="K5" s="215">
        <f t="shared" ref="K5" si="2">J5+1</f>
        <v>2029</v>
      </c>
      <c r="L5" s="215">
        <f t="shared" ref="L5" si="3">K5+1</f>
        <v>2030</v>
      </c>
      <c r="M5" s="215">
        <f t="shared" ref="M5" si="4">L5+1</f>
        <v>2031</v>
      </c>
      <c r="N5" s="215">
        <f t="shared" ref="N5" si="5">M5+1</f>
        <v>2032</v>
      </c>
      <c r="O5" s="215">
        <f t="shared" ref="O5" si="6">N5+1</f>
        <v>2033</v>
      </c>
      <c r="P5" s="215">
        <f t="shared" ref="P5" si="7">O5+1</f>
        <v>2034</v>
      </c>
      <c r="Q5" s="3"/>
      <c r="R5" s="3"/>
      <c r="S5" s="3"/>
    </row>
    <row r="6" spans="1:25" customFormat="1" ht="3.9" customHeight="1" x14ac:dyDescent="0.25">
      <c r="A6" s="16"/>
      <c r="B6" s="3"/>
      <c r="C6" s="3"/>
      <c r="D6" s="3"/>
      <c r="E6" s="13"/>
      <c r="F6" s="13"/>
      <c r="G6" s="153"/>
      <c r="H6" s="13"/>
      <c r="I6" s="13"/>
      <c r="J6" s="13"/>
      <c r="K6" s="13"/>
      <c r="L6" s="13"/>
      <c r="M6" s="13"/>
      <c r="N6" s="13"/>
      <c r="O6" s="13"/>
      <c r="P6" s="13"/>
      <c r="Q6" s="3"/>
      <c r="R6" s="3"/>
      <c r="S6" s="3"/>
    </row>
    <row r="7" spans="1:25" customFormat="1" ht="12.75" customHeight="1" x14ac:dyDescent="0.25">
      <c r="A7" s="72" t="s">
        <v>226</v>
      </c>
      <c r="B7" s="3"/>
      <c r="C7" s="3"/>
      <c r="D7" s="3"/>
      <c r="E7" s="20">
        <f t="shared" ref="E7:I7" si="8">E79+E152</f>
        <v>0</v>
      </c>
      <c r="F7" s="13">
        <f t="shared" si="8"/>
        <v>0</v>
      </c>
      <c r="G7" s="160">
        <f t="shared" si="8"/>
        <v>684024</v>
      </c>
      <c r="H7" s="13">
        <f t="shared" si="8"/>
        <v>1765881.9513271796</v>
      </c>
      <c r="I7" s="13">
        <f t="shared" si="8"/>
        <v>2497455.0713896919</v>
      </c>
      <c r="J7" s="13">
        <f t="shared" ref="J7:P7" si="9">J79+J152</f>
        <v>4145515.064944725</v>
      </c>
      <c r="K7" s="13">
        <f t="shared" si="9"/>
        <v>5355963.4615320228</v>
      </c>
      <c r="L7" s="13">
        <f t="shared" si="9"/>
        <v>7124782.953989502</v>
      </c>
      <c r="M7" s="13">
        <f t="shared" si="9"/>
        <v>8797625.47500588</v>
      </c>
      <c r="N7" s="13">
        <f t="shared" si="9"/>
        <v>10375935.478907531</v>
      </c>
      <c r="O7" s="13">
        <f t="shared" si="9"/>
        <v>11855100.101083916</v>
      </c>
      <c r="P7" s="13">
        <f t="shared" si="9"/>
        <v>13230368.090986174</v>
      </c>
      <c r="Q7" s="3"/>
      <c r="R7" s="3"/>
      <c r="S7" s="3"/>
    </row>
    <row r="8" spans="1:25" customFormat="1" ht="3.9" customHeight="1" x14ac:dyDescent="0.25">
      <c r="A8" s="16"/>
      <c r="B8" s="3"/>
      <c r="C8" s="3"/>
      <c r="D8" s="3"/>
      <c r="E8" s="13"/>
      <c r="F8" s="13"/>
      <c r="G8" s="153"/>
      <c r="H8" s="13"/>
      <c r="I8" s="13"/>
      <c r="J8" s="13"/>
      <c r="K8" s="13"/>
      <c r="L8" s="13"/>
      <c r="M8" s="13"/>
      <c r="N8" s="13"/>
      <c r="O8" s="13"/>
      <c r="P8" s="13"/>
      <c r="Q8" s="3"/>
      <c r="R8" s="3"/>
      <c r="S8" s="3"/>
    </row>
    <row r="9" spans="1:25" customFormat="1" ht="12.75" customHeight="1" x14ac:dyDescent="0.25">
      <c r="A9" s="72" t="s">
        <v>227</v>
      </c>
      <c r="B9" s="3"/>
      <c r="C9" s="3"/>
      <c r="D9" s="3"/>
      <c r="E9" s="13"/>
      <c r="F9" s="13"/>
      <c r="G9" s="153"/>
      <c r="H9" s="13"/>
      <c r="I9" s="13"/>
      <c r="J9" s="13"/>
      <c r="K9" s="13"/>
      <c r="L9" s="13"/>
      <c r="M9" s="13"/>
      <c r="N9" s="13"/>
      <c r="O9" s="13"/>
      <c r="P9" s="13"/>
      <c r="Q9" s="3"/>
      <c r="R9" s="3"/>
      <c r="S9" s="3"/>
    </row>
    <row r="10" spans="1:25" customFormat="1" ht="12.75" customHeight="1" x14ac:dyDescent="0.25">
      <c r="A10" s="16"/>
      <c r="B10" s="3" t="s">
        <v>235</v>
      </c>
      <c r="C10" s="3"/>
      <c r="D10" s="3"/>
      <c r="E10" s="13">
        <f t="shared" ref="E10:I11" si="10">E82+E155</f>
        <v>4702696.2494750004</v>
      </c>
      <c r="F10" s="13">
        <f t="shared" si="10"/>
        <v>4701489.1775499992</v>
      </c>
      <c r="G10" s="153">
        <f t="shared" si="10"/>
        <v>6449957.0931909997</v>
      </c>
      <c r="H10" s="13">
        <f t="shared" si="10"/>
        <v>7706845.2619263325</v>
      </c>
      <c r="I10" s="13">
        <f t="shared" si="10"/>
        <v>7785424.4428308327</v>
      </c>
      <c r="J10" s="13">
        <f t="shared" ref="J10:P10" si="11">J82+J155</f>
        <v>7864761.7989750784</v>
      </c>
      <c r="K10" s="13">
        <f t="shared" si="11"/>
        <v>7944880.0756162601</v>
      </c>
      <c r="L10" s="13">
        <f t="shared" si="11"/>
        <v>8025802.7003692882</v>
      </c>
      <c r="M10" s="13">
        <f t="shared" si="11"/>
        <v>8113476.7673345171</v>
      </c>
      <c r="N10" s="13">
        <f t="shared" si="11"/>
        <v>8202004.1672116015</v>
      </c>
      <c r="O10" s="13">
        <f t="shared" si="11"/>
        <v>8291410.4999879003</v>
      </c>
      <c r="P10" s="13">
        <f t="shared" si="11"/>
        <v>8387645.0973073868</v>
      </c>
      <c r="Q10" s="3"/>
      <c r="R10" s="3"/>
      <c r="S10" s="3"/>
    </row>
    <row r="11" spans="1:25" customFormat="1" ht="12.75" customHeight="1" x14ac:dyDescent="0.25">
      <c r="A11" s="16"/>
      <c r="B11" s="22" t="s">
        <v>236</v>
      </c>
      <c r="C11" s="22"/>
      <c r="D11" s="22"/>
      <c r="E11" s="30">
        <f t="shared" si="10"/>
        <v>115359.96</v>
      </c>
      <c r="F11" s="30">
        <f t="shared" si="10"/>
        <v>123240</v>
      </c>
      <c r="G11" s="154">
        <f t="shared" si="10"/>
        <v>123242.5</v>
      </c>
      <c r="H11" s="30">
        <f t="shared" si="10"/>
        <v>123235.5</v>
      </c>
      <c r="I11" s="30">
        <f t="shared" si="10"/>
        <v>123219</v>
      </c>
      <c r="J11" s="30">
        <f t="shared" ref="J11:P11" si="12">J83+J156</f>
        <v>123193</v>
      </c>
      <c r="K11" s="30">
        <f t="shared" si="12"/>
        <v>123157.5</v>
      </c>
      <c r="L11" s="30">
        <f t="shared" si="12"/>
        <v>123112.5</v>
      </c>
      <c r="M11" s="30">
        <f t="shared" si="12"/>
        <v>123058</v>
      </c>
      <c r="N11" s="30">
        <f t="shared" si="12"/>
        <v>122994</v>
      </c>
      <c r="O11" s="30">
        <f t="shared" si="12"/>
        <v>122920.5</v>
      </c>
      <c r="P11" s="30">
        <f t="shared" si="12"/>
        <v>122837.5</v>
      </c>
      <c r="Q11" s="3"/>
      <c r="R11" s="3"/>
      <c r="S11" s="3"/>
    </row>
    <row r="12" spans="1:25" customFormat="1" ht="12.75" customHeight="1" x14ac:dyDescent="0.25">
      <c r="A12" s="16"/>
      <c r="B12" s="3" t="s">
        <v>220</v>
      </c>
      <c r="C12" s="3"/>
      <c r="D12" s="3"/>
      <c r="E12" s="13">
        <f t="shared" ref="E12:I12" si="13">SUM(E10:E11)</f>
        <v>4818056.2094750004</v>
      </c>
      <c r="F12" s="13">
        <f t="shared" si="13"/>
        <v>4824729.1775499992</v>
      </c>
      <c r="G12" s="153">
        <f t="shared" si="13"/>
        <v>6573199.5931909997</v>
      </c>
      <c r="H12" s="13">
        <f t="shared" si="13"/>
        <v>7830080.7619263325</v>
      </c>
      <c r="I12" s="13">
        <f t="shared" si="13"/>
        <v>7908643.4428308327</v>
      </c>
      <c r="J12" s="13">
        <f t="shared" ref="J12:P12" si="14">SUM(J10:J11)</f>
        <v>7987954.7989750784</v>
      </c>
      <c r="K12" s="13">
        <f t="shared" si="14"/>
        <v>8068037.5756162601</v>
      </c>
      <c r="L12" s="13">
        <f t="shared" si="14"/>
        <v>8148915.2003692882</v>
      </c>
      <c r="M12" s="13">
        <f t="shared" si="14"/>
        <v>8236534.7673345171</v>
      </c>
      <c r="N12" s="13">
        <f t="shared" si="14"/>
        <v>8324998.1672116015</v>
      </c>
      <c r="O12" s="13">
        <f t="shared" si="14"/>
        <v>8414330.9999879003</v>
      </c>
      <c r="P12" s="13">
        <f t="shared" si="14"/>
        <v>8510482.5973073877</v>
      </c>
      <c r="Q12" s="3"/>
      <c r="R12" s="3"/>
      <c r="S12" s="3"/>
    </row>
    <row r="13" spans="1:25" customFormat="1" ht="3.9" customHeight="1" x14ac:dyDescent="0.25">
      <c r="G13" s="209"/>
    </row>
    <row r="14" spans="1:25" customFormat="1" ht="12.75" customHeight="1" x14ac:dyDescent="0.25">
      <c r="A14" s="72" t="s">
        <v>228</v>
      </c>
      <c r="B14" s="3"/>
      <c r="C14" s="3"/>
      <c r="D14" s="3"/>
      <c r="E14" s="13"/>
      <c r="F14" s="13"/>
      <c r="G14" s="153"/>
      <c r="H14" s="13"/>
      <c r="I14" s="13"/>
      <c r="J14" s="13"/>
      <c r="K14" s="13"/>
      <c r="L14" s="13"/>
      <c r="M14" s="13"/>
      <c r="N14" s="13"/>
      <c r="O14" s="13"/>
      <c r="P14" s="13"/>
      <c r="Q14" s="3"/>
      <c r="R14" s="3"/>
      <c r="S14" s="3"/>
    </row>
    <row r="15" spans="1:25" ht="12.75" customHeight="1" x14ac:dyDescent="0.25">
      <c r="B15" s="3" t="s">
        <v>89</v>
      </c>
      <c r="D15" s="13"/>
      <c r="E15" s="13">
        <f t="shared" ref="E15:I16" si="15">E87+E160</f>
        <v>4865365</v>
      </c>
      <c r="F15" s="13">
        <f t="shared" si="15"/>
        <v>4916947</v>
      </c>
      <c r="G15" s="153">
        <f t="shared" si="15"/>
        <v>5239100</v>
      </c>
      <c r="H15" s="13">
        <f t="shared" si="15"/>
        <v>5396273</v>
      </c>
      <c r="I15" s="13">
        <f t="shared" si="15"/>
        <v>5558161.1899999995</v>
      </c>
      <c r="J15" s="13">
        <f t="shared" ref="J15:P15" si="16">J87+J160</f>
        <v>5724906.0257000001</v>
      </c>
      <c r="K15" s="13">
        <f t="shared" si="16"/>
        <v>5896653.2064709999</v>
      </c>
      <c r="L15" s="13">
        <f t="shared" si="16"/>
        <v>6073552.8026651302</v>
      </c>
      <c r="M15" s="13">
        <f t="shared" si="16"/>
        <v>6255759.386745085</v>
      </c>
      <c r="N15" s="13">
        <f t="shared" si="16"/>
        <v>6443432.1683474379</v>
      </c>
      <c r="O15" s="13">
        <f t="shared" si="16"/>
        <v>6636735.1333978605</v>
      </c>
      <c r="P15" s="13">
        <f t="shared" si="16"/>
        <v>6835837.1873997971</v>
      </c>
      <c r="Q15"/>
      <c r="R15"/>
      <c r="S15"/>
      <c r="U15"/>
      <c r="Y15"/>
    </row>
    <row r="16" spans="1:25" ht="12.75" customHeight="1" x14ac:dyDescent="0.25">
      <c r="B16" s="3" t="s">
        <v>71</v>
      </c>
      <c r="D16" s="13"/>
      <c r="E16" s="13">
        <f t="shared" si="15"/>
        <v>0</v>
      </c>
      <c r="F16" s="13">
        <f t="shared" si="15"/>
        <v>0</v>
      </c>
      <c r="G16" s="153">
        <f t="shared" si="15"/>
        <v>0</v>
      </c>
      <c r="H16" s="13">
        <f t="shared" si="15"/>
        <v>0</v>
      </c>
      <c r="I16" s="13">
        <f t="shared" si="15"/>
        <v>0</v>
      </c>
      <c r="J16" s="13">
        <f t="shared" ref="J16:P16" si="17">J88+J161</f>
        <v>0</v>
      </c>
      <c r="K16" s="13">
        <f t="shared" si="17"/>
        <v>0</v>
      </c>
      <c r="L16" s="13">
        <f t="shared" si="17"/>
        <v>0</v>
      </c>
      <c r="M16" s="13">
        <f t="shared" si="17"/>
        <v>0</v>
      </c>
      <c r="N16" s="13">
        <f t="shared" si="17"/>
        <v>0</v>
      </c>
      <c r="O16" s="13">
        <f t="shared" si="17"/>
        <v>0</v>
      </c>
      <c r="P16" s="13">
        <f t="shared" si="17"/>
        <v>0</v>
      </c>
      <c r="Q16"/>
      <c r="R16"/>
      <c r="S16"/>
      <c r="U16"/>
      <c r="Y16"/>
    </row>
    <row r="17" spans="1:25" ht="12.75" customHeight="1" x14ac:dyDescent="0.25">
      <c r="B17" s="3" t="s">
        <v>50</v>
      </c>
      <c r="D17" s="13"/>
      <c r="E17" s="13"/>
      <c r="F17" s="13"/>
      <c r="G17" s="153"/>
      <c r="M17" s="13"/>
      <c r="N17" s="13"/>
      <c r="O17" s="13"/>
      <c r="P17" s="13"/>
      <c r="Q17"/>
      <c r="R17"/>
      <c r="S17"/>
      <c r="U17"/>
      <c r="Y17"/>
    </row>
    <row r="18" spans="1:25" ht="12.75" customHeight="1" x14ac:dyDescent="0.25">
      <c r="B18" s="3" t="s">
        <v>51</v>
      </c>
      <c r="D18" s="13"/>
      <c r="E18" s="20">
        <f t="shared" ref="E18:I19" si="18">E90+E163</f>
        <v>115359.96</v>
      </c>
      <c r="F18" s="20">
        <f t="shared" si="18"/>
        <v>123240</v>
      </c>
      <c r="G18" s="160">
        <f t="shared" si="18"/>
        <v>123242.5</v>
      </c>
      <c r="H18" s="20">
        <f t="shared" si="18"/>
        <v>123235.5</v>
      </c>
      <c r="I18" s="20">
        <f t="shared" si="18"/>
        <v>123219</v>
      </c>
      <c r="J18" s="20">
        <f t="shared" ref="J18:P18" si="19">J90+J163</f>
        <v>123193</v>
      </c>
      <c r="K18" s="20">
        <f t="shared" si="19"/>
        <v>123157.5</v>
      </c>
      <c r="L18" s="20">
        <f t="shared" si="19"/>
        <v>123112.5</v>
      </c>
      <c r="M18" s="20">
        <f t="shared" si="19"/>
        <v>123058</v>
      </c>
      <c r="N18" s="20">
        <f t="shared" si="19"/>
        <v>122994</v>
      </c>
      <c r="O18" s="20">
        <f t="shared" si="19"/>
        <v>122920.5</v>
      </c>
      <c r="P18" s="20">
        <f t="shared" si="19"/>
        <v>122837.5</v>
      </c>
      <c r="Q18"/>
      <c r="R18"/>
      <c r="S18"/>
      <c r="U18"/>
      <c r="Y18"/>
    </row>
    <row r="19" spans="1:25" ht="12.75" customHeight="1" x14ac:dyDescent="0.25">
      <c r="B19" s="22" t="s">
        <v>52</v>
      </c>
      <c r="C19" s="22"/>
      <c r="D19" s="30"/>
      <c r="E19" s="30">
        <f t="shared" si="18"/>
        <v>0</v>
      </c>
      <c r="F19" s="30">
        <f t="shared" si="18"/>
        <v>0</v>
      </c>
      <c r="G19" s="154">
        <f t="shared" si="18"/>
        <v>0</v>
      </c>
      <c r="H19" s="30">
        <f t="shared" si="18"/>
        <v>0</v>
      </c>
      <c r="I19" s="30">
        <f t="shared" si="18"/>
        <v>50204.117411980013</v>
      </c>
      <c r="J19" s="30">
        <f t="shared" ref="J19:P19" si="20">J91+J164</f>
        <v>100408.23482396003</v>
      </c>
      <c r="K19" s="30">
        <f t="shared" si="20"/>
        <v>100408.23482396003</v>
      </c>
      <c r="L19" s="30">
        <f t="shared" si="20"/>
        <v>100408.23482396003</v>
      </c>
      <c r="M19" s="30">
        <f t="shared" si="20"/>
        <v>100408.23482396003</v>
      </c>
      <c r="N19" s="30">
        <f t="shared" si="20"/>
        <v>100408.23482396003</v>
      </c>
      <c r="O19" s="30">
        <f t="shared" si="20"/>
        <v>100408.23482396003</v>
      </c>
      <c r="P19" s="30">
        <f t="shared" si="20"/>
        <v>100408.23482396003</v>
      </c>
      <c r="Q19"/>
      <c r="R19"/>
      <c r="S19"/>
      <c r="U19"/>
      <c r="Y19"/>
    </row>
    <row r="20" spans="1:25" ht="12.75" customHeight="1" x14ac:dyDescent="0.25">
      <c r="B20" s="3" t="s">
        <v>53</v>
      </c>
      <c r="D20" s="13"/>
      <c r="E20" s="13">
        <f t="shared" ref="E20:I20" si="21">SUM(E18:E19)</f>
        <v>115359.96</v>
      </c>
      <c r="F20" s="13">
        <f t="shared" si="21"/>
        <v>123240</v>
      </c>
      <c r="G20" s="153">
        <f t="shared" si="21"/>
        <v>123242.5</v>
      </c>
      <c r="H20" s="13">
        <f t="shared" si="21"/>
        <v>123235.5</v>
      </c>
      <c r="I20" s="13">
        <f t="shared" si="21"/>
        <v>173423.11741198</v>
      </c>
      <c r="J20" s="13">
        <f t="shared" ref="J20:P20" si="22">SUM(J18:J19)</f>
        <v>223601.23482396003</v>
      </c>
      <c r="K20" s="13">
        <f t="shared" si="22"/>
        <v>223565.73482396003</v>
      </c>
      <c r="L20" s="13">
        <f t="shared" si="22"/>
        <v>223520.73482396003</v>
      </c>
      <c r="M20" s="13">
        <f t="shared" si="22"/>
        <v>223466.23482396003</v>
      </c>
      <c r="N20" s="13">
        <f t="shared" si="22"/>
        <v>223402.23482396003</v>
      </c>
      <c r="O20" s="13">
        <f t="shared" si="22"/>
        <v>223328.73482396003</v>
      </c>
      <c r="P20" s="13">
        <f t="shared" si="22"/>
        <v>223245.73482396003</v>
      </c>
      <c r="Q20"/>
      <c r="R20"/>
      <c r="S20"/>
      <c r="U20"/>
      <c r="Y20"/>
    </row>
    <row r="21" spans="1:25" ht="12.75" customHeight="1" x14ac:dyDescent="0.25">
      <c r="B21" s="3" t="s">
        <v>54</v>
      </c>
      <c r="D21" s="13"/>
      <c r="E21" s="13"/>
      <c r="F21" s="13"/>
      <c r="G21" s="153"/>
      <c r="M21" s="13"/>
      <c r="N21" s="13"/>
      <c r="O21" s="13"/>
      <c r="P21" s="13"/>
      <c r="Q21"/>
      <c r="R21"/>
      <c r="S21"/>
      <c r="U21"/>
      <c r="Y21"/>
    </row>
    <row r="22" spans="1:25" ht="12.75" customHeight="1" x14ac:dyDescent="0.25">
      <c r="B22" s="3" t="s">
        <v>72</v>
      </c>
      <c r="D22" s="13"/>
      <c r="E22" s="20">
        <f t="shared" ref="E22:I23" si="23">E94+E167</f>
        <v>0</v>
      </c>
      <c r="F22" s="20">
        <f t="shared" si="23"/>
        <v>0</v>
      </c>
      <c r="G22" s="160">
        <f t="shared" si="23"/>
        <v>0</v>
      </c>
      <c r="H22" s="20">
        <f t="shared" si="23"/>
        <v>0</v>
      </c>
      <c r="I22" s="20">
        <f t="shared" si="23"/>
        <v>0</v>
      </c>
      <c r="J22" s="20">
        <f t="shared" ref="J22:P22" si="24">J94+J167</f>
        <v>0</v>
      </c>
      <c r="K22" s="20">
        <f t="shared" si="24"/>
        <v>0</v>
      </c>
      <c r="L22" s="20">
        <f t="shared" si="24"/>
        <v>0</v>
      </c>
      <c r="M22" s="20">
        <f t="shared" si="24"/>
        <v>0</v>
      </c>
      <c r="N22" s="20">
        <f t="shared" si="24"/>
        <v>0</v>
      </c>
      <c r="O22" s="20">
        <f t="shared" si="24"/>
        <v>0</v>
      </c>
      <c r="P22" s="20">
        <f t="shared" si="24"/>
        <v>0</v>
      </c>
      <c r="Q22"/>
      <c r="R22"/>
      <c r="S22"/>
      <c r="U22"/>
      <c r="Y22"/>
    </row>
    <row r="23" spans="1:25" ht="12.75" customHeight="1" x14ac:dyDescent="0.25">
      <c r="B23" s="22" t="s">
        <v>331</v>
      </c>
      <c r="C23" s="22"/>
      <c r="D23" s="30"/>
      <c r="E23" s="76">
        <f t="shared" si="23"/>
        <v>0</v>
      </c>
      <c r="F23" s="76">
        <f t="shared" si="23"/>
        <v>0</v>
      </c>
      <c r="G23" s="177">
        <f t="shared" si="23"/>
        <v>128999.14186382</v>
      </c>
      <c r="H23" s="76">
        <f t="shared" si="23"/>
        <v>1578999.1418638201</v>
      </c>
      <c r="I23" s="76">
        <f t="shared" si="23"/>
        <v>528999.14186382003</v>
      </c>
      <c r="J23" s="76">
        <f t="shared" ref="J23:P23" si="25">J95+J168</f>
        <v>828999.14186382003</v>
      </c>
      <c r="K23" s="76">
        <f t="shared" si="25"/>
        <v>178999.14186382</v>
      </c>
      <c r="L23" s="76">
        <f t="shared" si="25"/>
        <v>178999.14186382</v>
      </c>
      <c r="M23" s="76">
        <f t="shared" si="25"/>
        <v>178999.14186382</v>
      </c>
      <c r="N23" s="76">
        <f t="shared" si="25"/>
        <v>178999.14186382</v>
      </c>
      <c r="O23" s="76">
        <f t="shared" si="25"/>
        <v>178999.14186382</v>
      </c>
      <c r="P23" s="76">
        <f t="shared" si="25"/>
        <v>178999.14186382</v>
      </c>
      <c r="Q23"/>
      <c r="R23"/>
      <c r="S23"/>
      <c r="U23"/>
      <c r="Y23"/>
    </row>
    <row r="24" spans="1:25" ht="12.75" customHeight="1" x14ac:dyDescent="0.25">
      <c r="B24" s="3" t="s">
        <v>134</v>
      </c>
      <c r="D24" s="13"/>
      <c r="E24" s="13">
        <f t="shared" ref="E24:I24" si="26">SUM(E22:E23)</f>
        <v>0</v>
      </c>
      <c r="F24" s="13">
        <f t="shared" si="26"/>
        <v>0</v>
      </c>
      <c r="G24" s="153">
        <f t="shared" si="26"/>
        <v>128999.14186382</v>
      </c>
      <c r="H24" s="13">
        <f t="shared" si="26"/>
        <v>1578999.1418638201</v>
      </c>
      <c r="I24" s="13">
        <f t="shared" si="26"/>
        <v>528999.14186382003</v>
      </c>
      <c r="J24" s="13">
        <f t="shared" ref="J24:P24" si="27">SUM(J22:J23)</f>
        <v>828999.14186382003</v>
      </c>
      <c r="K24" s="13">
        <f t="shared" si="27"/>
        <v>178999.14186382</v>
      </c>
      <c r="L24" s="13">
        <f t="shared" si="27"/>
        <v>178999.14186382</v>
      </c>
      <c r="M24" s="13">
        <f t="shared" si="27"/>
        <v>178999.14186382</v>
      </c>
      <c r="N24" s="13">
        <f t="shared" si="27"/>
        <v>178999.14186382</v>
      </c>
      <c r="O24" s="13">
        <f t="shared" si="27"/>
        <v>178999.14186382</v>
      </c>
      <c r="P24" s="13">
        <f t="shared" si="27"/>
        <v>178999.14186382</v>
      </c>
      <c r="Q24"/>
      <c r="R24"/>
      <c r="S24"/>
      <c r="U24"/>
      <c r="Y24"/>
    </row>
    <row r="25" spans="1:25" customFormat="1" ht="12.75" customHeight="1" x14ac:dyDescent="0.25">
      <c r="A25" s="16"/>
      <c r="B25" s="42"/>
      <c r="C25" s="22"/>
      <c r="D25" s="22"/>
      <c r="E25" s="30"/>
      <c r="F25" s="30"/>
      <c r="G25" s="154"/>
      <c r="H25" s="30"/>
      <c r="I25" s="30"/>
      <c r="J25" s="30"/>
      <c r="K25" s="30"/>
      <c r="L25" s="30"/>
      <c r="M25" s="30"/>
      <c r="N25" s="30"/>
      <c r="O25" s="30"/>
      <c r="P25" s="30"/>
      <c r="Q25" s="3"/>
      <c r="R25" s="3"/>
      <c r="S25" s="3"/>
    </row>
    <row r="26" spans="1:25" customFormat="1" ht="12.75" customHeight="1" x14ac:dyDescent="0.25">
      <c r="A26" s="16"/>
      <c r="B26" s="3" t="s">
        <v>234</v>
      </c>
      <c r="C26" s="3"/>
      <c r="D26" s="3"/>
      <c r="E26" s="13">
        <f>SUM(E15:E16)+E20+E24</f>
        <v>4980724.96</v>
      </c>
      <c r="F26" s="13">
        <f t="shared" ref="F26:I26" si="28">SUM(F15:F16)+F20+F24</f>
        <v>5040187</v>
      </c>
      <c r="G26" s="153">
        <f t="shared" si="28"/>
        <v>5491341.6418638201</v>
      </c>
      <c r="H26" s="13">
        <f t="shared" si="28"/>
        <v>7098507.6418638201</v>
      </c>
      <c r="I26" s="13">
        <f t="shared" si="28"/>
        <v>6260583.4492758</v>
      </c>
      <c r="J26" s="13">
        <f t="shared" ref="J26:P26" si="29">SUM(J15:J16)+J20+J24</f>
        <v>6777506.4023877801</v>
      </c>
      <c r="K26" s="13">
        <f t="shared" si="29"/>
        <v>6299218.0831587799</v>
      </c>
      <c r="L26" s="13">
        <f t="shared" si="29"/>
        <v>6476072.6793529103</v>
      </c>
      <c r="M26" s="13">
        <f t="shared" si="29"/>
        <v>6658224.763432865</v>
      </c>
      <c r="N26" s="13">
        <f t="shared" si="29"/>
        <v>6845833.5450352179</v>
      </c>
      <c r="O26" s="13">
        <f t="shared" si="29"/>
        <v>7039063.0100856405</v>
      </c>
      <c r="P26" s="13">
        <f t="shared" si="29"/>
        <v>7238082.0640875772</v>
      </c>
      <c r="Q26" s="3"/>
      <c r="R26" s="3"/>
      <c r="S26" s="3"/>
    </row>
    <row r="27" spans="1:25" customFormat="1" ht="3.9" customHeight="1" thickBot="1" x14ac:dyDescent="0.3">
      <c r="A27" s="31"/>
      <c r="B27" s="32"/>
      <c r="C27" s="32"/>
      <c r="D27" s="32"/>
      <c r="E27" s="33"/>
      <c r="F27" s="33"/>
      <c r="G27" s="174"/>
      <c r="H27" s="33"/>
      <c r="I27" s="33"/>
      <c r="J27" s="33"/>
      <c r="K27" s="33"/>
      <c r="L27" s="33"/>
      <c r="M27" s="33"/>
      <c r="N27" s="33"/>
      <c r="O27" s="33"/>
      <c r="P27" s="33"/>
      <c r="Q27" s="3"/>
      <c r="R27" s="3"/>
      <c r="S27" s="3"/>
    </row>
    <row r="28" spans="1:25" customFormat="1" ht="12.75" customHeight="1" thickTop="1" x14ac:dyDescent="0.25">
      <c r="A28" s="77" t="s">
        <v>164</v>
      </c>
      <c r="B28" s="3"/>
      <c r="C28" s="3"/>
      <c r="D28" s="3"/>
      <c r="E28" s="434">
        <f t="shared" ref="E28:I28" si="30">E12-E26</f>
        <v>-162668.75052499957</v>
      </c>
      <c r="F28" s="434">
        <f t="shared" si="30"/>
        <v>-215457.82245000079</v>
      </c>
      <c r="G28" s="435">
        <f t="shared" si="30"/>
        <v>1081857.9513271796</v>
      </c>
      <c r="H28" s="434">
        <f t="shared" si="30"/>
        <v>731573.12006251235</v>
      </c>
      <c r="I28" s="434">
        <f t="shared" si="30"/>
        <v>1648059.9935550326</v>
      </c>
      <c r="J28" s="434">
        <f t="shared" ref="J28:P28" si="31">J12-J26</f>
        <v>1210448.3965872983</v>
      </c>
      <c r="K28" s="434">
        <f t="shared" si="31"/>
        <v>1768819.4924574802</v>
      </c>
      <c r="L28" s="434">
        <f t="shared" si="31"/>
        <v>1672842.521016378</v>
      </c>
      <c r="M28" s="434">
        <f t="shared" si="31"/>
        <v>1578310.0039016521</v>
      </c>
      <c r="N28" s="434">
        <f t="shared" si="31"/>
        <v>1479164.6221763836</v>
      </c>
      <c r="O28" s="434">
        <f t="shared" si="31"/>
        <v>1375267.9899022598</v>
      </c>
      <c r="P28" s="434">
        <f t="shared" si="31"/>
        <v>1272400.5332198106</v>
      </c>
      <c r="Q28" s="3"/>
      <c r="R28" s="3"/>
      <c r="S28" s="3"/>
    </row>
    <row r="29" spans="1:25" customFormat="1" ht="3.9" customHeight="1" thickBot="1" x14ac:dyDescent="0.3">
      <c r="A29" s="31"/>
      <c r="B29" s="32"/>
      <c r="C29" s="32"/>
      <c r="D29" s="32"/>
      <c r="E29" s="33"/>
      <c r="F29" s="33"/>
      <c r="G29" s="174"/>
      <c r="H29" s="33"/>
      <c r="I29" s="33"/>
      <c r="J29" s="33"/>
      <c r="K29" s="33"/>
      <c r="L29" s="33"/>
      <c r="M29" s="33"/>
      <c r="N29" s="33"/>
      <c r="O29" s="33"/>
      <c r="P29" s="33"/>
      <c r="Q29" s="3"/>
      <c r="R29" s="3"/>
      <c r="S29" s="3"/>
    </row>
    <row r="30" spans="1:25" customFormat="1" ht="12.75" customHeight="1" thickTop="1" x14ac:dyDescent="0.25">
      <c r="A30" s="72" t="s">
        <v>229</v>
      </c>
      <c r="B30" s="3"/>
      <c r="C30" s="3"/>
      <c r="D30" s="3"/>
      <c r="E30" s="13"/>
      <c r="F30" s="20">
        <f>F102+F175</f>
        <v>684024</v>
      </c>
      <c r="G30" s="160">
        <f>G7+G28</f>
        <v>1765881.9513271796</v>
      </c>
      <c r="H30" s="13">
        <f t="shared" ref="H30:I30" si="32">H7+H28</f>
        <v>2497455.0713896919</v>
      </c>
      <c r="I30" s="13">
        <f t="shared" si="32"/>
        <v>4145515.0649447246</v>
      </c>
      <c r="J30" s="13">
        <f t="shared" ref="J30:P30" si="33">J7+J28</f>
        <v>5355963.4615320228</v>
      </c>
      <c r="K30" s="13">
        <f t="shared" si="33"/>
        <v>7124782.953989503</v>
      </c>
      <c r="L30" s="13">
        <f t="shared" si="33"/>
        <v>8797625.47500588</v>
      </c>
      <c r="M30" s="13">
        <f t="shared" si="33"/>
        <v>10375935.478907533</v>
      </c>
      <c r="N30" s="13">
        <f t="shared" si="33"/>
        <v>11855100.101083916</v>
      </c>
      <c r="O30" s="13">
        <f t="shared" si="33"/>
        <v>13230368.090986175</v>
      </c>
      <c r="P30" s="13">
        <f t="shared" si="33"/>
        <v>14502768.624205984</v>
      </c>
      <c r="Q30" s="3"/>
      <c r="R30" s="3"/>
      <c r="S30" s="3"/>
    </row>
    <row r="31" spans="1:25" customFormat="1" ht="3.9" customHeight="1" thickBot="1" x14ac:dyDescent="0.3">
      <c r="A31" s="14"/>
      <c r="B31" s="7"/>
      <c r="C31" s="7"/>
      <c r="D31" s="7"/>
      <c r="E31" s="15"/>
      <c r="F31" s="382"/>
      <c r="G31" s="155"/>
      <c r="H31" s="15"/>
      <c r="I31" s="15"/>
      <c r="J31" s="15"/>
      <c r="K31" s="15"/>
      <c r="L31" s="15"/>
      <c r="M31" s="15"/>
      <c r="N31" s="15"/>
      <c r="O31" s="15"/>
      <c r="P31" s="15"/>
      <c r="Q31" s="3"/>
      <c r="R31" s="3"/>
      <c r="S31" s="3"/>
    </row>
    <row r="32" spans="1:25" customFormat="1" ht="3.9" customHeight="1" x14ac:dyDescent="0.25">
      <c r="A32" s="16"/>
      <c r="B32" s="3"/>
      <c r="C32" s="3"/>
      <c r="D32" s="3"/>
      <c r="E32" s="13"/>
      <c r="F32" s="13"/>
      <c r="G32" s="153"/>
      <c r="H32" s="13"/>
      <c r="I32" s="13"/>
      <c r="J32" s="13"/>
      <c r="K32" s="13"/>
      <c r="L32" s="13"/>
      <c r="M32" s="13"/>
      <c r="N32" s="13"/>
      <c r="O32" s="13"/>
      <c r="P32" s="13"/>
      <c r="Q32" s="3"/>
      <c r="R32" s="3"/>
      <c r="S32" s="3"/>
    </row>
    <row r="33" spans="1:19" customFormat="1" ht="12.75" customHeight="1" x14ac:dyDescent="0.25">
      <c r="A33" s="77" t="s">
        <v>245</v>
      </c>
      <c r="B33" s="3"/>
      <c r="C33" s="3"/>
      <c r="D33" s="3"/>
      <c r="E33" s="20"/>
      <c r="F33" s="20"/>
      <c r="G33" s="153"/>
      <c r="H33" s="13"/>
      <c r="I33" s="13"/>
      <c r="J33" s="13"/>
      <c r="K33" s="13"/>
      <c r="L33" s="13"/>
      <c r="M33" s="13"/>
      <c r="N33" s="13"/>
      <c r="O33" s="13"/>
      <c r="P33" s="13"/>
      <c r="Q33" s="3"/>
      <c r="R33" s="3"/>
      <c r="S33" s="3"/>
    </row>
    <row r="34" spans="1:19" customFormat="1" ht="12.75" customHeight="1" x14ac:dyDescent="0.25">
      <c r="A34" s="62" t="s">
        <v>247</v>
      </c>
      <c r="B34" s="3"/>
      <c r="C34" s="3"/>
      <c r="D34" s="3"/>
      <c r="E34" s="20">
        <f t="shared" ref="E34:I34" si="34">E30-D30</f>
        <v>0</v>
      </c>
      <c r="F34" s="20">
        <f t="shared" si="34"/>
        <v>684024</v>
      </c>
      <c r="G34" s="153">
        <f t="shared" si="34"/>
        <v>1081857.9513271796</v>
      </c>
      <c r="H34" s="13">
        <f t="shared" si="34"/>
        <v>731573.12006251235</v>
      </c>
      <c r="I34" s="13">
        <f t="shared" si="34"/>
        <v>1648059.9935550326</v>
      </c>
      <c r="J34" s="13">
        <f t="shared" ref="J34" si="35">J30-I30</f>
        <v>1210448.3965872983</v>
      </c>
      <c r="K34" s="13">
        <f t="shared" ref="K34" si="36">K30-J30</f>
        <v>1768819.4924574802</v>
      </c>
      <c r="L34" s="13">
        <f t="shared" ref="L34" si="37">L30-K30</f>
        <v>1672842.521016377</v>
      </c>
      <c r="M34" s="13">
        <f t="shared" ref="M34" si="38">M30-L30</f>
        <v>1578310.003901653</v>
      </c>
      <c r="N34" s="13">
        <f t="shared" ref="N34" si="39">N30-M30</f>
        <v>1479164.6221763827</v>
      </c>
      <c r="O34" s="13">
        <f t="shared" ref="O34" si="40">O30-N30</f>
        <v>1375267.9899022598</v>
      </c>
      <c r="P34" s="13">
        <f t="shared" ref="P34" si="41">P30-O30</f>
        <v>1272400.5332198087</v>
      </c>
      <c r="Q34" s="3"/>
      <c r="R34" s="3"/>
      <c r="S34" s="3"/>
    </row>
    <row r="35" spans="1:19" customFormat="1" ht="12.75" customHeight="1" x14ac:dyDescent="0.25">
      <c r="A35" s="74" t="s">
        <v>249</v>
      </c>
      <c r="B35" s="3"/>
      <c r="C35" s="3"/>
      <c r="D35" s="3"/>
      <c r="E35" s="54">
        <f t="shared" ref="E35:I35" si="42">E30/E26</f>
        <v>0</v>
      </c>
      <c r="F35" s="54">
        <f t="shared" si="42"/>
        <v>0.13571401219835694</v>
      </c>
      <c r="G35" s="156">
        <f t="shared" si="42"/>
        <v>0.32157568523232882</v>
      </c>
      <c r="H35" s="23">
        <f t="shared" si="42"/>
        <v>0.35182818662627341</v>
      </c>
      <c r="I35" s="23">
        <f t="shared" si="42"/>
        <v>0.66216113857954595</v>
      </c>
      <c r="J35" s="23">
        <f t="shared" ref="J35:P35" si="43">J30/J26</f>
        <v>0.79025575831917561</v>
      </c>
      <c r="K35" s="23">
        <f t="shared" si="43"/>
        <v>1.1310583091317166</v>
      </c>
      <c r="L35" s="23">
        <f t="shared" si="43"/>
        <v>1.358481584534184</v>
      </c>
      <c r="M35" s="23">
        <f t="shared" si="43"/>
        <v>1.5583636551130606</v>
      </c>
      <c r="N35" s="23">
        <f t="shared" si="43"/>
        <v>1.7317248547010835</v>
      </c>
      <c r="O35" s="23">
        <f t="shared" si="43"/>
        <v>1.879563810130634</v>
      </c>
      <c r="P35" s="23">
        <f t="shared" si="43"/>
        <v>2.003675627852139</v>
      </c>
      <c r="Q35" s="3"/>
      <c r="R35" s="3"/>
      <c r="S35" s="3"/>
    </row>
    <row r="36" spans="1:19" customFormat="1" ht="3.9" customHeight="1" x14ac:dyDescent="0.25">
      <c r="A36" s="74"/>
      <c r="B36" s="3"/>
      <c r="C36" s="3"/>
      <c r="D36" s="3"/>
      <c r="E36" s="45"/>
      <c r="F36" s="45"/>
      <c r="G36" s="157"/>
      <c r="H36" s="34"/>
      <c r="I36" s="34"/>
      <c r="J36" s="34"/>
      <c r="K36" s="34"/>
      <c r="L36" s="34"/>
      <c r="M36" s="34"/>
      <c r="N36" s="34"/>
      <c r="O36" s="34"/>
      <c r="P36" s="34"/>
      <c r="Q36" s="3"/>
      <c r="R36" s="3"/>
      <c r="S36" s="3"/>
    </row>
    <row r="37" spans="1:19" customFormat="1" ht="12.75" customHeight="1" x14ac:dyDescent="0.25">
      <c r="A37" s="74" t="s">
        <v>69</v>
      </c>
      <c r="B37" s="3"/>
      <c r="C37" s="3"/>
      <c r="D37" s="3"/>
      <c r="E37" s="210">
        <f>E30/E26</f>
        <v>0</v>
      </c>
      <c r="F37" s="210">
        <f t="shared" ref="F37:I37" si="44">F30/F26</f>
        <v>0.13571401219835694</v>
      </c>
      <c r="G37" s="161">
        <f t="shared" si="44"/>
        <v>0.32157568523232882</v>
      </c>
      <c r="H37" s="38">
        <f t="shared" si="44"/>
        <v>0.35182818662627341</v>
      </c>
      <c r="I37" s="38">
        <f t="shared" si="44"/>
        <v>0.66216113857954595</v>
      </c>
      <c r="J37" s="38">
        <f t="shared" ref="J37:P37" si="45">J30/J26</f>
        <v>0.79025575831917561</v>
      </c>
      <c r="K37" s="38">
        <f t="shared" si="45"/>
        <v>1.1310583091317166</v>
      </c>
      <c r="L37" s="38">
        <f t="shared" si="45"/>
        <v>1.358481584534184</v>
      </c>
      <c r="M37" s="38">
        <f t="shared" si="45"/>
        <v>1.5583636551130606</v>
      </c>
      <c r="N37" s="38">
        <f t="shared" si="45"/>
        <v>1.7317248547010835</v>
      </c>
      <c r="O37" s="38">
        <f t="shared" si="45"/>
        <v>1.879563810130634</v>
      </c>
      <c r="P37" s="38">
        <f t="shared" si="45"/>
        <v>2.003675627852139</v>
      </c>
      <c r="Q37" s="3"/>
      <c r="R37" s="3"/>
      <c r="S37" s="3"/>
    </row>
    <row r="38" spans="1:19" customFormat="1" ht="12.75" customHeight="1" x14ac:dyDescent="0.25">
      <c r="A38" s="74" t="s">
        <v>70</v>
      </c>
      <c r="B38" s="3"/>
      <c r="C38" s="3"/>
      <c r="D38" s="3"/>
      <c r="E38" s="60">
        <v>0.5</v>
      </c>
      <c r="F38" s="60">
        <f t="shared" ref="F38:I38" si="46">E38</f>
        <v>0.5</v>
      </c>
      <c r="G38" s="229">
        <f t="shared" si="46"/>
        <v>0.5</v>
      </c>
      <c r="H38" s="60">
        <f t="shared" si="46"/>
        <v>0.5</v>
      </c>
      <c r="I38" s="60">
        <f t="shared" si="46"/>
        <v>0.5</v>
      </c>
      <c r="J38" s="60">
        <f t="shared" ref="J38" si="47">I38</f>
        <v>0.5</v>
      </c>
      <c r="K38" s="60">
        <f t="shared" ref="K38" si="48">J38</f>
        <v>0.5</v>
      </c>
      <c r="L38" s="60">
        <f t="shared" ref="L38" si="49">K38</f>
        <v>0.5</v>
      </c>
      <c r="M38" s="60">
        <f t="shared" ref="M38" si="50">L38</f>
        <v>0.5</v>
      </c>
      <c r="N38" s="60">
        <f t="shared" ref="N38" si="51">M38</f>
        <v>0.5</v>
      </c>
      <c r="O38" s="60">
        <f t="shared" ref="O38" si="52">N38</f>
        <v>0.5</v>
      </c>
      <c r="P38" s="60">
        <f t="shared" ref="P38" si="53">O38</f>
        <v>0.5</v>
      </c>
      <c r="Q38" s="3"/>
      <c r="R38" s="3"/>
      <c r="S38" s="3"/>
    </row>
    <row r="39" spans="1:19" customFormat="1" ht="12.75" customHeight="1" x14ac:dyDescent="0.25">
      <c r="A39" s="74" t="s">
        <v>248</v>
      </c>
      <c r="B39" s="3"/>
      <c r="C39" s="3"/>
      <c r="D39" s="3"/>
      <c r="E39" s="210">
        <f t="shared" ref="E39:I39" si="54">E37-E38</f>
        <v>-0.5</v>
      </c>
      <c r="F39" s="210">
        <f t="shared" si="54"/>
        <v>-0.36428598780164306</v>
      </c>
      <c r="G39" s="161">
        <f t="shared" si="54"/>
        <v>-0.17842431476767118</v>
      </c>
      <c r="H39" s="38">
        <f t="shared" si="54"/>
        <v>-0.14817181337372659</v>
      </c>
      <c r="I39" s="38">
        <f t="shared" si="54"/>
        <v>0.16216113857954595</v>
      </c>
      <c r="J39" s="38">
        <f t="shared" ref="J39:P39" si="55">J37-J38</f>
        <v>0.29025575831917561</v>
      </c>
      <c r="K39" s="38">
        <f t="shared" si="55"/>
        <v>0.63105830913171657</v>
      </c>
      <c r="L39" s="38">
        <f t="shared" si="55"/>
        <v>0.85848158453418399</v>
      </c>
      <c r="M39" s="38">
        <f t="shared" si="55"/>
        <v>1.0583636551130606</v>
      </c>
      <c r="N39" s="38">
        <f t="shared" si="55"/>
        <v>1.2317248547010835</v>
      </c>
      <c r="O39" s="38">
        <f t="shared" si="55"/>
        <v>1.379563810130634</v>
      </c>
      <c r="P39" s="38">
        <f t="shared" si="55"/>
        <v>1.503675627852139</v>
      </c>
      <c r="Q39" s="3"/>
      <c r="R39" s="3"/>
      <c r="S39" s="3"/>
    </row>
    <row r="40" spans="1:19" customFormat="1" ht="3.9" customHeight="1" x14ac:dyDescent="0.25">
      <c r="A40" s="74"/>
      <c r="B40" s="3"/>
      <c r="C40" s="3"/>
      <c r="D40" s="3"/>
      <c r="E40" s="45"/>
      <c r="F40" s="45"/>
      <c r="G40" s="157"/>
      <c r="H40" s="34"/>
      <c r="I40" s="34"/>
      <c r="J40" s="34"/>
      <c r="K40" s="34"/>
      <c r="L40" s="34"/>
      <c r="M40" s="34"/>
      <c r="N40" s="34"/>
      <c r="O40" s="34"/>
      <c r="P40" s="34"/>
      <c r="Q40" s="3"/>
      <c r="R40" s="3"/>
      <c r="S40" s="3"/>
    </row>
    <row r="41" spans="1:19" customFormat="1" ht="12.75" customHeight="1" x14ac:dyDescent="0.25">
      <c r="A41" s="74" t="s">
        <v>198</v>
      </c>
      <c r="B41" s="3"/>
      <c r="C41" s="3"/>
      <c r="D41" s="3"/>
      <c r="E41" s="20">
        <f>E10-E15-E22</f>
        <v>-162668.75052499957</v>
      </c>
      <c r="F41" s="20">
        <f t="shared" ref="F41:I41" si="56">F10-F15-F22</f>
        <v>-215457.82245000079</v>
      </c>
      <c r="G41" s="153">
        <f>G10-G15-G22</f>
        <v>1210857.0931909997</v>
      </c>
      <c r="H41" s="13">
        <f t="shared" si="56"/>
        <v>2310572.2619263325</v>
      </c>
      <c r="I41" s="13">
        <f t="shared" si="56"/>
        <v>2227263.2528308332</v>
      </c>
      <c r="J41" s="13">
        <f t="shared" ref="J41:P41" si="57">J10-J15-J22</f>
        <v>2139855.7732750783</v>
      </c>
      <c r="K41" s="13">
        <f t="shared" si="57"/>
        <v>2048226.8691452602</v>
      </c>
      <c r="L41" s="13">
        <f t="shared" si="57"/>
        <v>1952249.897704158</v>
      </c>
      <c r="M41" s="13">
        <f t="shared" si="57"/>
        <v>1857717.3805894321</v>
      </c>
      <c r="N41" s="13">
        <f t="shared" si="57"/>
        <v>1758571.9988641636</v>
      </c>
      <c r="O41" s="13">
        <f t="shared" si="57"/>
        <v>1654675.3665900398</v>
      </c>
      <c r="P41" s="13">
        <f t="shared" si="57"/>
        <v>1551807.9099075897</v>
      </c>
      <c r="Q41" s="3"/>
      <c r="R41" s="3"/>
      <c r="S41" s="3"/>
    </row>
    <row r="42" spans="1:19" customFormat="1" ht="12.75" customHeight="1" x14ac:dyDescent="0.25">
      <c r="A42" s="74" t="s">
        <v>202</v>
      </c>
      <c r="B42" s="3"/>
      <c r="C42" s="3"/>
      <c r="D42" s="3"/>
      <c r="E42" s="52">
        <f>IF(E20&gt;0,E41/E20,0)</f>
        <v>-1.4100971474417949</v>
      </c>
      <c r="F42" s="52">
        <f t="shared" ref="F42:I42" si="58">IF(F20&gt;0,F41/F20,0)</f>
        <v>-1.7482783386076013</v>
      </c>
      <c r="G42" s="199">
        <f t="shared" si="58"/>
        <v>9.8249961919873403</v>
      </c>
      <c r="H42" s="198">
        <f t="shared" si="58"/>
        <v>18.749242401145224</v>
      </c>
      <c r="I42" s="198">
        <f t="shared" si="58"/>
        <v>12.842943236568614</v>
      </c>
      <c r="J42" s="198">
        <f t="shared" ref="J42:P42" si="59">IF(J20&gt;0,J41/J20,0)</f>
        <v>9.5699640252871347</v>
      </c>
      <c r="K42" s="198">
        <f t="shared" si="59"/>
        <v>9.1616314582289338</v>
      </c>
      <c r="L42" s="198">
        <f t="shared" si="59"/>
        <v>8.7340885812750511</v>
      </c>
      <c r="M42" s="198">
        <f t="shared" si="59"/>
        <v>8.3131905008060212</v>
      </c>
      <c r="N42" s="198">
        <f t="shared" si="59"/>
        <v>7.8717744262939471</v>
      </c>
      <c r="O42" s="198">
        <f t="shared" si="59"/>
        <v>7.4091467356153062</v>
      </c>
      <c r="P42" s="198">
        <f t="shared" si="59"/>
        <v>6.9511200790969854</v>
      </c>
      <c r="Q42" s="3"/>
      <c r="R42" s="3"/>
      <c r="S42" s="3"/>
    </row>
    <row r="43" spans="1:19" customFormat="1" ht="12.75" customHeight="1" x14ac:dyDescent="0.25">
      <c r="A43" s="74" t="s">
        <v>201</v>
      </c>
      <c r="B43" s="3"/>
      <c r="C43" s="3"/>
      <c r="D43" s="3"/>
      <c r="E43" s="205">
        <v>1.25</v>
      </c>
      <c r="F43" s="205">
        <f t="shared" ref="F43:I43" si="60">E43</f>
        <v>1.25</v>
      </c>
      <c r="G43" s="206">
        <f t="shared" si="60"/>
        <v>1.25</v>
      </c>
      <c r="H43" s="205">
        <f t="shared" si="60"/>
        <v>1.25</v>
      </c>
      <c r="I43" s="205">
        <f t="shared" si="60"/>
        <v>1.25</v>
      </c>
      <c r="J43" s="205">
        <f t="shared" ref="J43" si="61">I43</f>
        <v>1.25</v>
      </c>
      <c r="K43" s="205">
        <f t="shared" ref="K43" si="62">J43</f>
        <v>1.25</v>
      </c>
      <c r="L43" s="205">
        <f t="shared" ref="L43" si="63">K43</f>
        <v>1.25</v>
      </c>
      <c r="M43" s="205">
        <f t="shared" ref="M43" si="64">L43</f>
        <v>1.25</v>
      </c>
      <c r="N43" s="205">
        <f t="shared" ref="N43" si="65">M43</f>
        <v>1.25</v>
      </c>
      <c r="O43" s="205">
        <f t="shared" ref="O43" si="66">N43</f>
        <v>1.25</v>
      </c>
      <c r="P43" s="205">
        <f t="shared" ref="P43" si="67">O43</f>
        <v>1.25</v>
      </c>
      <c r="Q43" s="3"/>
      <c r="R43" s="3"/>
      <c r="S43" s="3"/>
    </row>
    <row r="44" spans="1:19" customFormat="1" ht="12.75" customHeight="1" x14ac:dyDescent="0.25">
      <c r="A44" s="74" t="s">
        <v>248</v>
      </c>
      <c r="B44" s="3"/>
      <c r="C44" s="3"/>
      <c r="D44" s="3"/>
      <c r="E44" s="52">
        <f t="shared" ref="E44:I44" si="68">E42-E43</f>
        <v>-2.6600971474417952</v>
      </c>
      <c r="F44" s="52">
        <f t="shared" si="68"/>
        <v>-2.9982783386076015</v>
      </c>
      <c r="G44" s="199">
        <f t="shared" si="68"/>
        <v>8.5749961919873403</v>
      </c>
      <c r="H44" s="198">
        <f t="shared" si="68"/>
        <v>17.499242401145224</v>
      </c>
      <c r="I44" s="198">
        <f t="shared" si="68"/>
        <v>11.592943236568614</v>
      </c>
      <c r="J44" s="198">
        <f t="shared" ref="J44:P44" si="69">J42-J43</f>
        <v>8.3199640252871347</v>
      </c>
      <c r="K44" s="198">
        <f t="shared" si="69"/>
        <v>7.9116314582289338</v>
      </c>
      <c r="L44" s="198">
        <f t="shared" si="69"/>
        <v>7.4840885812750511</v>
      </c>
      <c r="M44" s="198">
        <f t="shared" si="69"/>
        <v>7.0631905008060212</v>
      </c>
      <c r="N44" s="198">
        <f t="shared" si="69"/>
        <v>6.6217744262939471</v>
      </c>
      <c r="O44" s="198">
        <f t="shared" si="69"/>
        <v>6.1591467356153062</v>
      </c>
      <c r="P44" s="198">
        <f t="shared" si="69"/>
        <v>5.7011200790969854</v>
      </c>
      <c r="Q44" s="3"/>
      <c r="R44" s="3"/>
      <c r="S44" s="3"/>
    </row>
    <row r="45" spans="1:19" customFormat="1" ht="3.9" customHeight="1" thickBot="1" x14ac:dyDescent="0.3">
      <c r="A45" s="75"/>
      <c r="B45" s="7"/>
      <c r="C45" s="7"/>
      <c r="D45" s="7"/>
      <c r="E45" s="68"/>
      <c r="F45" s="68"/>
      <c r="G45" s="159"/>
      <c r="H45" s="68"/>
      <c r="I45" s="68"/>
      <c r="J45" s="68"/>
      <c r="K45" s="68"/>
      <c r="L45" s="68"/>
      <c r="M45" s="68"/>
      <c r="N45" s="68"/>
      <c r="O45" s="68"/>
      <c r="P45" s="68"/>
      <c r="Q45" s="3"/>
      <c r="R45" s="3"/>
      <c r="S45" s="3"/>
    </row>
    <row r="46" spans="1:19" customFormat="1" ht="12.75" customHeight="1" x14ac:dyDescent="0.25">
      <c r="A46" s="16"/>
      <c r="B46" s="3"/>
      <c r="C46" s="3"/>
      <c r="D46" s="3"/>
      <c r="E46" s="20"/>
      <c r="F46" s="20"/>
      <c r="G46" s="160"/>
      <c r="H46" s="20"/>
      <c r="I46" s="20"/>
      <c r="J46" s="20"/>
      <c r="K46" s="20"/>
      <c r="L46" s="20"/>
      <c r="M46" s="20"/>
      <c r="N46" s="20"/>
      <c r="O46" s="20"/>
      <c r="P46" s="20"/>
      <c r="Q46" s="3"/>
      <c r="R46" s="3"/>
      <c r="S46" s="3"/>
    </row>
    <row r="47" spans="1:19" customFormat="1" ht="12.75" customHeight="1" x14ac:dyDescent="0.25">
      <c r="A47" s="16"/>
      <c r="B47" s="3"/>
      <c r="C47" s="3"/>
      <c r="D47" s="3"/>
      <c r="E47" s="13"/>
      <c r="F47" s="13"/>
      <c r="G47" s="153"/>
      <c r="H47" s="13"/>
      <c r="I47" s="13"/>
      <c r="J47" s="13"/>
      <c r="K47" s="13"/>
      <c r="L47" s="13"/>
      <c r="M47" s="13"/>
      <c r="N47" s="13"/>
      <c r="O47" s="13"/>
      <c r="P47" s="13"/>
      <c r="Q47" s="3"/>
      <c r="R47" s="3"/>
      <c r="S47" s="3"/>
    </row>
    <row r="48" spans="1:19" customFormat="1" ht="12.75" customHeight="1" x14ac:dyDescent="0.25">
      <c r="A48" s="16"/>
      <c r="B48" s="3"/>
      <c r="C48" s="3"/>
      <c r="D48" s="3"/>
      <c r="E48" s="13"/>
      <c r="F48" s="13"/>
      <c r="G48" s="153"/>
      <c r="H48" s="13"/>
      <c r="I48" s="13"/>
      <c r="J48" s="13"/>
      <c r="K48" s="13"/>
      <c r="L48" s="13"/>
      <c r="M48" s="13"/>
      <c r="N48" s="13"/>
      <c r="O48" s="13"/>
      <c r="P48" s="13"/>
      <c r="Q48" s="3"/>
      <c r="R48" s="3"/>
      <c r="S48" s="3"/>
    </row>
    <row r="49" spans="1:19" customFormat="1" ht="12.75" customHeight="1" x14ac:dyDescent="0.25">
      <c r="A49" s="16"/>
      <c r="B49" s="3"/>
      <c r="C49" s="3"/>
      <c r="D49" s="3"/>
      <c r="E49" s="13"/>
      <c r="F49" s="13"/>
      <c r="G49" s="153"/>
      <c r="H49" s="13"/>
      <c r="I49" s="13"/>
      <c r="J49" s="13"/>
      <c r="K49" s="13"/>
      <c r="L49" s="13"/>
      <c r="M49" s="13"/>
      <c r="N49" s="13"/>
      <c r="O49" s="13"/>
      <c r="P49" s="13"/>
      <c r="Q49" s="3"/>
      <c r="R49" s="3"/>
      <c r="S49" s="3"/>
    </row>
    <row r="50" spans="1:19" customFormat="1" ht="12.75" customHeight="1" x14ac:dyDescent="0.25">
      <c r="A50" s="16"/>
      <c r="B50" s="3"/>
      <c r="C50" s="3"/>
      <c r="D50" s="3"/>
      <c r="E50" s="13"/>
      <c r="F50" s="13"/>
      <c r="G50" s="153"/>
      <c r="H50" s="13"/>
      <c r="I50" s="13"/>
      <c r="J50" s="13"/>
      <c r="K50" s="13"/>
      <c r="L50" s="13"/>
      <c r="M50" s="13"/>
      <c r="N50" s="13"/>
      <c r="O50" s="13"/>
      <c r="P50" s="13"/>
      <c r="Q50" s="3"/>
      <c r="R50" s="3"/>
      <c r="S50" s="3"/>
    </row>
    <row r="51" spans="1:19" customFormat="1" ht="12.75" customHeight="1" x14ac:dyDescent="0.25">
      <c r="A51" s="16"/>
      <c r="B51" s="3"/>
      <c r="C51" s="3"/>
      <c r="D51" s="3"/>
      <c r="E51" s="13"/>
      <c r="F51" s="13"/>
      <c r="G51" s="153"/>
      <c r="H51" s="13"/>
      <c r="I51" s="13"/>
      <c r="J51" s="13"/>
      <c r="K51" s="13"/>
      <c r="L51" s="13"/>
      <c r="M51" s="13"/>
      <c r="N51" s="13"/>
      <c r="O51" s="13"/>
      <c r="P51" s="13"/>
      <c r="Q51" s="3"/>
      <c r="R51" s="3"/>
      <c r="S51" s="3"/>
    </row>
    <row r="52" spans="1:19" customFormat="1" ht="12.75" customHeight="1" x14ac:dyDescent="0.25">
      <c r="A52" s="16"/>
      <c r="B52" s="3"/>
      <c r="C52" s="140"/>
      <c r="D52" s="140"/>
      <c r="E52" s="13"/>
      <c r="F52" s="13"/>
      <c r="G52" s="153"/>
      <c r="H52" s="13"/>
      <c r="I52" s="13"/>
      <c r="J52" s="13"/>
      <c r="K52" s="13"/>
      <c r="L52" s="13"/>
      <c r="M52" s="13"/>
      <c r="N52" s="13"/>
      <c r="O52" s="13"/>
      <c r="P52" s="13"/>
      <c r="Q52" s="3"/>
      <c r="R52" s="3"/>
      <c r="S52" s="3"/>
    </row>
    <row r="53" spans="1:19" customFormat="1" ht="12.75" customHeight="1" x14ac:dyDescent="0.25">
      <c r="A53" s="16"/>
      <c r="B53" s="3"/>
      <c r="C53" s="3"/>
      <c r="D53" s="3"/>
      <c r="E53" s="13"/>
      <c r="F53" s="13"/>
      <c r="G53" s="153"/>
      <c r="H53" s="13"/>
      <c r="I53" s="13"/>
      <c r="J53" s="13"/>
      <c r="K53" s="13"/>
      <c r="L53" s="13"/>
      <c r="M53" s="13"/>
      <c r="N53" s="13"/>
      <c r="O53" s="13"/>
      <c r="P53" s="13"/>
      <c r="Q53" s="3"/>
      <c r="R53" s="3"/>
      <c r="S53" s="3"/>
    </row>
    <row r="54" spans="1:19" customFormat="1" ht="12.75" customHeight="1" x14ac:dyDescent="0.25">
      <c r="A54" s="16"/>
      <c r="B54" s="3"/>
      <c r="C54" s="3"/>
      <c r="D54" s="3"/>
      <c r="E54" s="13"/>
      <c r="F54" s="13"/>
      <c r="G54" s="153"/>
      <c r="H54" s="13"/>
      <c r="I54" s="13"/>
      <c r="J54" s="13"/>
      <c r="K54" s="13"/>
      <c r="L54" s="13"/>
      <c r="M54" s="13"/>
      <c r="N54" s="13"/>
      <c r="O54" s="13"/>
      <c r="P54" s="13"/>
      <c r="Q54" s="3"/>
      <c r="R54" s="3"/>
      <c r="S54" s="3"/>
    </row>
    <row r="55" spans="1:19" customFormat="1" ht="12.75" customHeight="1" x14ac:dyDescent="0.25">
      <c r="A55" s="16"/>
      <c r="B55" s="3"/>
      <c r="C55" s="3"/>
      <c r="D55" s="3"/>
      <c r="E55" s="13"/>
      <c r="F55" s="13"/>
      <c r="G55" s="153"/>
      <c r="H55" s="13"/>
      <c r="I55" s="13"/>
      <c r="J55" s="13"/>
      <c r="K55" s="13"/>
      <c r="L55" s="13"/>
      <c r="M55" s="13"/>
      <c r="N55" s="13"/>
      <c r="O55" s="13"/>
      <c r="P55" s="13"/>
      <c r="Q55" s="3"/>
      <c r="R55" s="3"/>
      <c r="S55" s="3"/>
    </row>
    <row r="56" spans="1:19" customFormat="1" ht="12.75" customHeight="1" x14ac:dyDescent="0.25">
      <c r="A56" s="16"/>
      <c r="B56" s="3"/>
      <c r="C56" s="3"/>
      <c r="D56" s="3"/>
      <c r="E56" s="13"/>
      <c r="F56" s="13"/>
      <c r="G56" s="153"/>
      <c r="H56" s="13"/>
      <c r="I56" s="13"/>
      <c r="J56" s="13"/>
      <c r="K56" s="13"/>
      <c r="L56" s="13"/>
      <c r="M56" s="13"/>
      <c r="N56" s="13"/>
      <c r="O56" s="13"/>
      <c r="P56" s="13"/>
      <c r="Q56" s="3"/>
      <c r="R56" s="3"/>
      <c r="S56" s="3"/>
    </row>
    <row r="57" spans="1:19" customFormat="1" ht="12.75" customHeight="1" x14ac:dyDescent="0.25">
      <c r="A57" s="16"/>
      <c r="B57" s="3"/>
      <c r="C57" s="3"/>
      <c r="D57" s="3"/>
      <c r="E57" s="13"/>
      <c r="F57" s="13"/>
      <c r="G57" s="153"/>
      <c r="H57" s="13"/>
      <c r="I57" s="13"/>
      <c r="J57" s="13"/>
      <c r="K57" s="13"/>
      <c r="L57" s="13"/>
      <c r="M57" s="13"/>
      <c r="N57" s="13"/>
      <c r="O57" s="13"/>
      <c r="P57" s="13"/>
      <c r="Q57" s="3"/>
      <c r="R57" s="3"/>
      <c r="S57" s="3"/>
    </row>
    <row r="58" spans="1:19" customFormat="1" ht="12.75" customHeight="1" x14ac:dyDescent="0.25">
      <c r="A58" s="16"/>
      <c r="B58" s="3" t="s">
        <v>271</v>
      </c>
      <c r="C58" s="3"/>
      <c r="D58" s="3"/>
      <c r="E58" s="13"/>
      <c r="F58" s="13"/>
      <c r="G58" s="13"/>
      <c r="H58" s="13"/>
      <c r="I58" s="13"/>
      <c r="J58" s="13"/>
      <c r="K58" s="13"/>
      <c r="L58" s="13"/>
      <c r="M58" s="13"/>
      <c r="N58" s="13"/>
      <c r="O58" s="13"/>
      <c r="P58" s="13"/>
      <c r="Q58" s="3"/>
      <c r="R58" s="3"/>
      <c r="S58" s="3"/>
    </row>
    <row r="59" spans="1:19" customFormat="1" ht="12.75" customHeight="1" x14ac:dyDescent="0.25">
      <c r="A59" s="16"/>
      <c r="B59" s="3"/>
      <c r="C59" s="3"/>
      <c r="D59" s="3"/>
      <c r="E59" s="13"/>
      <c r="F59" s="13"/>
      <c r="G59" s="13"/>
      <c r="H59" s="13"/>
      <c r="I59" s="13"/>
      <c r="J59" s="13"/>
      <c r="K59" s="13"/>
      <c r="L59" s="13"/>
      <c r="M59" s="13"/>
      <c r="N59" s="13"/>
      <c r="O59" s="13"/>
      <c r="P59" s="13"/>
      <c r="Q59" s="3"/>
      <c r="R59" s="3"/>
      <c r="S59" s="3"/>
    </row>
    <row r="60" spans="1:19" customFormat="1" ht="12.75" customHeight="1" x14ac:dyDescent="0.25">
      <c r="A60" s="16"/>
      <c r="B60" s="3"/>
      <c r="C60" s="3"/>
      <c r="D60" s="3"/>
      <c r="E60" s="13"/>
      <c r="F60" s="65"/>
      <c r="G60" s="149"/>
      <c r="H60" s="149"/>
      <c r="I60" s="13"/>
      <c r="J60" s="13"/>
      <c r="K60" s="13"/>
      <c r="L60" s="13"/>
      <c r="M60" s="13"/>
      <c r="N60" s="13"/>
      <c r="O60" s="13"/>
      <c r="P60" s="13"/>
      <c r="Q60" s="3"/>
      <c r="R60" s="3"/>
      <c r="S60" s="3"/>
    </row>
    <row r="61" spans="1:19" customFormat="1" ht="12.75" customHeight="1" x14ac:dyDescent="0.25">
      <c r="A61" s="16"/>
      <c r="B61" s="3"/>
      <c r="C61" s="3"/>
      <c r="D61" s="3"/>
      <c r="E61" s="13"/>
      <c r="F61" s="204"/>
      <c r="G61" s="10"/>
      <c r="H61" s="10"/>
      <c r="I61" s="13"/>
      <c r="J61" s="13"/>
      <c r="K61" s="13"/>
      <c r="L61" s="13"/>
      <c r="M61" s="13"/>
      <c r="N61" s="13"/>
      <c r="O61" s="13"/>
      <c r="P61" s="13"/>
      <c r="Q61" s="3"/>
      <c r="R61" s="3"/>
      <c r="S61" s="3"/>
    </row>
    <row r="62" spans="1:19" customFormat="1" ht="12.75" customHeight="1" x14ac:dyDescent="0.25">
      <c r="A62" s="16"/>
      <c r="B62" s="3"/>
      <c r="C62" s="3"/>
      <c r="D62" s="3"/>
      <c r="E62" s="13"/>
      <c r="F62" s="204"/>
      <c r="G62" s="10"/>
      <c r="H62" s="10"/>
      <c r="I62" s="13"/>
      <c r="J62" s="13"/>
      <c r="K62" s="13"/>
      <c r="L62" s="13"/>
      <c r="M62" s="13"/>
      <c r="N62" s="13"/>
      <c r="O62" s="13"/>
      <c r="P62" s="13"/>
      <c r="Q62" s="3"/>
      <c r="R62" s="3"/>
      <c r="S62" s="3"/>
    </row>
    <row r="63" spans="1:19" customFormat="1" ht="12.75" customHeight="1" x14ac:dyDescent="0.25">
      <c r="A63" s="16"/>
      <c r="B63" s="3"/>
      <c r="C63" s="3"/>
      <c r="D63" s="3"/>
      <c r="E63" s="13"/>
      <c r="F63" s="204"/>
      <c r="G63" s="10"/>
      <c r="H63" s="10"/>
      <c r="I63" s="13"/>
      <c r="J63" s="13"/>
      <c r="K63" s="13"/>
      <c r="L63" s="13"/>
      <c r="M63" s="13"/>
      <c r="N63" s="13"/>
      <c r="O63" s="13"/>
      <c r="P63" s="13"/>
      <c r="Q63" s="3"/>
      <c r="R63" s="3"/>
      <c r="S63" s="3"/>
    </row>
    <row r="64" spans="1:19" customFormat="1" ht="12.75" customHeight="1" x14ac:dyDescent="0.25">
      <c r="A64" s="16"/>
      <c r="B64" s="3"/>
      <c r="C64" s="3"/>
      <c r="D64" s="3"/>
      <c r="E64" s="13"/>
      <c r="F64" s="204"/>
      <c r="G64" s="10"/>
      <c r="H64" s="10"/>
      <c r="I64" s="13"/>
      <c r="J64" s="13"/>
      <c r="K64" s="13"/>
      <c r="L64" s="13"/>
      <c r="M64" s="13"/>
      <c r="N64" s="13"/>
      <c r="O64" s="13"/>
      <c r="P64" s="13"/>
      <c r="Q64" s="3"/>
      <c r="R64" s="3"/>
      <c r="S64" s="3"/>
    </row>
    <row r="65" spans="1:19" customFormat="1" ht="12.75" customHeight="1" x14ac:dyDescent="0.25">
      <c r="A65" s="16"/>
      <c r="B65" s="3"/>
      <c r="C65" s="3"/>
      <c r="D65" s="3"/>
      <c r="E65" s="13"/>
      <c r="F65" s="204"/>
      <c r="G65" s="10"/>
      <c r="H65" s="10"/>
      <c r="I65" s="13"/>
      <c r="J65" s="13"/>
      <c r="K65" s="13"/>
      <c r="L65" s="13"/>
      <c r="M65" s="13"/>
      <c r="N65" s="13"/>
      <c r="O65" s="13"/>
      <c r="P65" s="13"/>
      <c r="Q65" s="3"/>
      <c r="R65" s="3"/>
      <c r="S65" s="3"/>
    </row>
    <row r="66" spans="1:19" customFormat="1" ht="12.75" customHeight="1" x14ac:dyDescent="0.25">
      <c r="A66" s="16"/>
      <c r="B66" s="3"/>
      <c r="C66" s="3"/>
      <c r="D66" s="3"/>
      <c r="E66" s="13"/>
      <c r="F66" s="204"/>
      <c r="G66" s="10"/>
      <c r="H66" s="10"/>
      <c r="I66" s="13"/>
      <c r="J66" s="13"/>
      <c r="K66" s="13"/>
      <c r="L66" s="13"/>
      <c r="M66" s="13"/>
      <c r="N66" s="13"/>
      <c r="O66" s="13"/>
      <c r="P66" s="13"/>
      <c r="Q66" s="3"/>
      <c r="R66" s="3"/>
      <c r="S66" s="3"/>
    </row>
    <row r="67" spans="1:19" customFormat="1" ht="12.75" customHeight="1" x14ac:dyDescent="0.25">
      <c r="A67" s="16"/>
      <c r="B67" s="3"/>
      <c r="C67" s="3"/>
      <c r="D67" s="3"/>
      <c r="E67" s="13"/>
      <c r="F67" s="204"/>
      <c r="G67" s="10"/>
      <c r="H67" s="10"/>
      <c r="I67" s="13"/>
      <c r="J67" s="13"/>
      <c r="K67" s="13"/>
      <c r="L67" s="13"/>
      <c r="M67" s="13"/>
      <c r="N67" s="13"/>
      <c r="O67" s="13"/>
      <c r="P67" s="13"/>
      <c r="Q67" s="3"/>
      <c r="R67" s="3"/>
      <c r="S67" s="3"/>
    </row>
    <row r="68" spans="1:19" customFormat="1" ht="12.75" customHeight="1" x14ac:dyDescent="0.25">
      <c r="A68" s="16"/>
      <c r="B68" s="3"/>
      <c r="C68" s="3"/>
      <c r="D68" s="3"/>
      <c r="E68" s="13"/>
      <c r="F68" s="204"/>
      <c r="G68" s="10"/>
      <c r="H68" s="10"/>
      <c r="I68" s="13"/>
      <c r="J68" s="13"/>
      <c r="K68" s="13"/>
      <c r="L68" s="13"/>
      <c r="M68" s="13"/>
      <c r="N68" s="13"/>
      <c r="O68" s="13"/>
      <c r="P68" s="13"/>
      <c r="Q68" s="3"/>
      <c r="R68" s="3"/>
      <c r="S68" s="3"/>
    </row>
    <row r="69" spans="1:19" customFormat="1" ht="12.75" customHeight="1" x14ac:dyDescent="0.25">
      <c r="A69" s="16"/>
      <c r="B69" s="3"/>
      <c r="C69" s="3"/>
      <c r="D69" s="3"/>
      <c r="E69" s="13"/>
      <c r="F69" s="204"/>
      <c r="G69" s="10"/>
      <c r="H69" s="10"/>
      <c r="I69" s="13"/>
      <c r="J69" s="13"/>
      <c r="K69" s="13"/>
      <c r="L69" s="13"/>
      <c r="M69" s="13"/>
      <c r="N69" s="13"/>
      <c r="O69" s="13"/>
      <c r="P69" s="13"/>
      <c r="Q69" s="3"/>
      <c r="R69" s="3"/>
      <c r="S69" s="3"/>
    </row>
    <row r="70" spans="1:19" customFormat="1" ht="12.75" customHeight="1" x14ac:dyDescent="0.25">
      <c r="A70" s="16"/>
      <c r="B70" s="3"/>
      <c r="C70" s="3"/>
      <c r="D70" s="3"/>
      <c r="E70" s="13"/>
      <c r="F70" s="204"/>
      <c r="G70" s="10"/>
      <c r="H70" s="10"/>
      <c r="I70" s="13"/>
      <c r="J70" s="13"/>
      <c r="K70" s="13"/>
      <c r="L70" s="13"/>
      <c r="M70" s="13"/>
      <c r="N70" s="13"/>
      <c r="O70" s="13"/>
      <c r="P70" s="13"/>
      <c r="Q70" s="3"/>
      <c r="R70" s="3"/>
      <c r="S70" s="3"/>
    </row>
    <row r="71" spans="1:19" customFormat="1" ht="12.75" customHeight="1" x14ac:dyDescent="0.25">
      <c r="A71" s="16"/>
      <c r="B71" s="3"/>
      <c r="C71" s="3"/>
      <c r="D71" s="3"/>
      <c r="E71" s="13"/>
      <c r="F71" s="204"/>
      <c r="G71" s="10"/>
      <c r="H71" s="10"/>
      <c r="I71" s="13"/>
      <c r="J71" s="13"/>
      <c r="K71" s="13"/>
      <c r="L71" s="13"/>
      <c r="M71" s="13"/>
      <c r="N71" s="13"/>
      <c r="O71" s="13"/>
      <c r="P71" s="13"/>
      <c r="Q71" s="3"/>
      <c r="R71" s="3"/>
      <c r="S71" s="3"/>
    </row>
    <row r="72" spans="1:19" customFormat="1" ht="12.75" customHeight="1" x14ac:dyDescent="0.25">
      <c r="A72" s="16"/>
      <c r="B72" s="3"/>
      <c r="C72" s="3"/>
      <c r="D72" s="3"/>
      <c r="E72" s="13"/>
      <c r="F72" s="204"/>
      <c r="G72" s="10"/>
      <c r="H72" s="10"/>
      <c r="I72" s="13"/>
      <c r="J72" s="13"/>
      <c r="K72" s="13"/>
      <c r="L72" s="13"/>
      <c r="M72" s="13"/>
      <c r="N72" s="13"/>
      <c r="O72" s="13"/>
      <c r="P72" s="13"/>
      <c r="Q72" s="3"/>
      <c r="R72" s="3"/>
      <c r="S72" s="3"/>
    </row>
    <row r="73" spans="1:19" customFormat="1" ht="12.75" customHeight="1" x14ac:dyDescent="0.25">
      <c r="A73" s="77" t="s">
        <v>244</v>
      </c>
      <c r="B73" s="3"/>
      <c r="C73" s="6"/>
      <c r="D73" s="6"/>
      <c r="E73" s="3"/>
      <c r="F73" s="13"/>
      <c r="G73" s="13"/>
      <c r="H73" s="13"/>
      <c r="I73" s="4"/>
      <c r="J73" s="4"/>
      <c r="K73" s="4"/>
      <c r="L73" s="4"/>
      <c r="M73" s="4"/>
      <c r="N73" s="4"/>
      <c r="Q73" s="3"/>
      <c r="R73" s="3"/>
      <c r="S73" s="3"/>
    </row>
    <row r="74" spans="1:19" customFormat="1" ht="12.75" customHeight="1" x14ac:dyDescent="0.25">
      <c r="A74" s="77" t="s">
        <v>56</v>
      </c>
      <c r="B74" s="3"/>
      <c r="C74" s="6"/>
      <c r="D74" s="13"/>
      <c r="E74" s="3"/>
      <c r="F74" s="13"/>
      <c r="G74" s="416"/>
      <c r="H74" s="13"/>
      <c r="I74" s="4"/>
      <c r="J74" s="4"/>
      <c r="K74" s="4"/>
      <c r="L74" s="4"/>
      <c r="M74" s="4"/>
      <c r="N74" s="4"/>
      <c r="O74" s="4"/>
      <c r="P74" s="4"/>
      <c r="Q74" s="4"/>
      <c r="R74" s="3"/>
      <c r="S74" s="3"/>
    </row>
    <row r="75" spans="1:19" customFormat="1" ht="12.75" customHeight="1" x14ac:dyDescent="0.25">
      <c r="A75" s="363" t="s">
        <v>59</v>
      </c>
      <c r="B75" s="3"/>
      <c r="C75" s="6"/>
      <c r="D75" s="6"/>
      <c r="E75" s="3"/>
      <c r="F75" s="13"/>
      <c r="G75" s="13"/>
      <c r="H75" s="13"/>
      <c r="I75" s="4"/>
      <c r="J75" s="4"/>
      <c r="K75" s="4"/>
      <c r="L75" s="4"/>
      <c r="M75" s="4"/>
      <c r="N75" s="4"/>
      <c r="O75" s="4"/>
      <c r="P75" s="4"/>
      <c r="Q75" s="4"/>
      <c r="R75" s="3"/>
      <c r="S75" s="3"/>
    </row>
    <row r="76" spans="1:19" customFormat="1" ht="12.75" customHeight="1" thickBot="1" x14ac:dyDescent="0.3">
      <c r="A76" s="78" t="s">
        <v>428</v>
      </c>
      <c r="B76" s="7"/>
      <c r="C76" s="8"/>
      <c r="D76" s="8"/>
      <c r="E76" s="7"/>
      <c r="F76" s="7"/>
      <c r="G76" s="7"/>
      <c r="H76" s="7"/>
      <c r="I76" s="7"/>
      <c r="J76" s="7"/>
      <c r="K76" s="7"/>
      <c r="L76" s="7"/>
      <c r="M76" s="7"/>
      <c r="N76" s="7"/>
      <c r="O76" s="7"/>
      <c r="P76" s="7"/>
      <c r="Q76" s="3"/>
      <c r="R76" s="3"/>
      <c r="S76" s="3"/>
    </row>
    <row r="77" spans="1:19" customFormat="1" ht="12.75" customHeight="1" x14ac:dyDescent="0.25">
      <c r="A77" s="645" t="s">
        <v>215</v>
      </c>
      <c r="B77" s="645"/>
      <c r="C77" s="645"/>
      <c r="D77" s="214"/>
      <c r="E77" s="215">
        <f>E5</f>
        <v>2023</v>
      </c>
      <c r="F77" s="215">
        <f t="shared" ref="F77:I77" si="70">E77+1</f>
        <v>2024</v>
      </c>
      <c r="G77" s="216">
        <f t="shared" si="70"/>
        <v>2025</v>
      </c>
      <c r="H77" s="215">
        <f t="shared" si="70"/>
        <v>2026</v>
      </c>
      <c r="I77" s="215">
        <f t="shared" si="70"/>
        <v>2027</v>
      </c>
      <c r="J77" s="215">
        <f t="shared" ref="J77" si="71">I77+1</f>
        <v>2028</v>
      </c>
      <c r="K77" s="215">
        <f t="shared" ref="K77" si="72">J77+1</f>
        <v>2029</v>
      </c>
      <c r="L77" s="215">
        <f t="shared" ref="L77" si="73">K77+1</f>
        <v>2030</v>
      </c>
      <c r="M77" s="215">
        <f t="shared" ref="M77" si="74">L77+1</f>
        <v>2031</v>
      </c>
      <c r="N77" s="215">
        <f t="shared" ref="N77" si="75">M77+1</f>
        <v>2032</v>
      </c>
      <c r="O77" s="215">
        <f t="shared" ref="O77" si="76">N77+1</f>
        <v>2033</v>
      </c>
      <c r="P77" s="215">
        <f t="shared" ref="P77" si="77">O77+1</f>
        <v>2034</v>
      </c>
      <c r="Q77" s="3"/>
      <c r="R77" s="3"/>
      <c r="S77" s="3"/>
    </row>
    <row r="78" spans="1:19" customFormat="1" ht="3.9" customHeight="1" x14ac:dyDescent="0.25">
      <c r="A78" s="16"/>
      <c r="B78" s="3"/>
      <c r="C78" s="3"/>
      <c r="D78" s="3"/>
      <c r="E78" s="13"/>
      <c r="F78" s="13"/>
      <c r="G78" s="153"/>
      <c r="H78" s="13"/>
      <c r="I78" s="13"/>
      <c r="J78" s="13"/>
      <c r="K78" s="13"/>
      <c r="L78" s="13"/>
      <c r="M78" s="13"/>
      <c r="N78" s="13"/>
      <c r="O78" s="13"/>
      <c r="P78" s="13"/>
      <c r="Q78" s="3"/>
      <c r="R78" s="3"/>
      <c r="S78" s="3"/>
    </row>
    <row r="79" spans="1:19" customFormat="1" ht="12.75" customHeight="1" x14ac:dyDescent="0.25">
      <c r="A79" s="72" t="s">
        <v>226</v>
      </c>
      <c r="B79" s="3"/>
      <c r="C79" s="3"/>
      <c r="D79" s="3"/>
      <c r="E79" s="20"/>
      <c r="F79" s="20"/>
      <c r="G79" s="160">
        <f t="shared" ref="G79:I79" si="78">F102</f>
        <v>342012</v>
      </c>
      <c r="H79" s="13">
        <f t="shared" si="78"/>
        <v>413601.49694517953</v>
      </c>
      <c r="I79" s="13">
        <f t="shared" si="78"/>
        <v>621663.90652235923</v>
      </c>
      <c r="J79" s="13">
        <f t="shared" ref="J79" si="79">I102</f>
        <v>826581.17700403929</v>
      </c>
      <c r="K79" s="13">
        <f t="shared" ref="K79" si="80">J102</f>
        <v>1026659.7540299646</v>
      </c>
      <c r="L79" s="13">
        <f t="shared" ref="L79" si="81">K102</f>
        <v>1220155.276609072</v>
      </c>
      <c r="M79" s="13">
        <f t="shared" ref="M79" si="82">L102</f>
        <v>1405271.0529205673</v>
      </c>
      <c r="N79" s="13">
        <f t="shared" ref="N79" si="83">M102</f>
        <v>1586079.4540460315</v>
      </c>
      <c r="O79" s="13">
        <f t="shared" ref="O79" si="84">N102</f>
        <v>1760674.3696327838</v>
      </c>
      <c r="P79" s="13">
        <f t="shared" ref="P79" si="85">O102</f>
        <v>1927092.5060175629</v>
      </c>
      <c r="Q79" s="3"/>
      <c r="R79" s="3"/>
      <c r="S79" s="3"/>
    </row>
    <row r="80" spans="1:19" customFormat="1" ht="3.9" customHeight="1" x14ac:dyDescent="0.25">
      <c r="A80" s="16"/>
      <c r="B80" s="3"/>
      <c r="C80" s="3"/>
      <c r="D80" s="3"/>
      <c r="E80" s="13"/>
      <c r="F80" s="13"/>
      <c r="G80" s="153"/>
      <c r="H80" s="13"/>
      <c r="I80" s="13"/>
      <c r="J80" s="13"/>
      <c r="K80" s="13"/>
      <c r="L80" s="13"/>
      <c r="M80" s="13"/>
      <c r="N80" s="13"/>
      <c r="O80" s="13"/>
      <c r="P80" s="13"/>
      <c r="Q80" s="3"/>
      <c r="R80" s="3"/>
      <c r="S80" s="3"/>
    </row>
    <row r="81" spans="1:25" customFormat="1" ht="12.75" customHeight="1" x14ac:dyDescent="0.25">
      <c r="A81" s="72" t="s">
        <v>227</v>
      </c>
      <c r="B81" s="3"/>
      <c r="C81" s="3"/>
      <c r="D81" s="3"/>
      <c r="E81" s="13"/>
      <c r="F81" s="13"/>
      <c r="G81" s="153"/>
      <c r="H81" s="13"/>
      <c r="I81" s="13"/>
      <c r="J81" s="13"/>
      <c r="K81" s="13"/>
      <c r="L81" s="13"/>
      <c r="M81" s="13"/>
      <c r="N81" s="13"/>
      <c r="O81" s="13"/>
      <c r="P81" s="13"/>
      <c r="Q81" s="3"/>
      <c r="R81" s="3"/>
      <c r="S81" s="3"/>
    </row>
    <row r="82" spans="1:25" customFormat="1" ht="12.75" customHeight="1" x14ac:dyDescent="0.25">
      <c r="A82" s="16"/>
      <c r="B82" s="3" t="s">
        <v>235</v>
      </c>
      <c r="C82" s="3"/>
      <c r="D82" s="3"/>
      <c r="E82" s="13">
        <f>'W-Rev'!E43-(SUM('W-Rev'!E37:E41))</f>
        <v>1783526.0436749998</v>
      </c>
      <c r="F82" s="13">
        <f>'W-Rev'!F43-(SUM('W-Rev'!F37:F41))</f>
        <v>1789618.7345499999</v>
      </c>
      <c r="G82" s="153">
        <f>'W-Rev'!G43-(SUM('W-Rev'!G37:G41))</f>
        <v>2771826.0172909996</v>
      </c>
      <c r="H82" s="13">
        <f>'W-Rev'!H43-(SUM('W-Rev'!H37:H41))</f>
        <v>3012642.9299229998</v>
      </c>
      <c r="I82" s="13">
        <f>'W-Rev'!I43-(SUM('W-Rev'!I37:I41))</f>
        <v>3091222.1108275</v>
      </c>
      <c r="J82" s="13">
        <f>'W-Rev'!J43-(SUM('W-Rev'!J37:J41))</f>
        <v>3170559.4669717452</v>
      </c>
      <c r="K82" s="13">
        <f>'W-Rev'!K43-(SUM('W-Rev'!K37:K41))</f>
        <v>3250677.7436129274</v>
      </c>
      <c r="L82" s="13">
        <f>'W-Rev'!L43-(SUM('W-Rev'!L37:L41))</f>
        <v>3331600.3683659555</v>
      </c>
      <c r="M82" s="13">
        <f>'W-Rev'!M43-(SUM('W-Rev'!M37:M41))</f>
        <v>3419274.435331184</v>
      </c>
      <c r="N82" s="13">
        <f>'W-Rev'!N43-(SUM('W-Rev'!N37:N41))</f>
        <v>3507801.8352082693</v>
      </c>
      <c r="O82" s="13">
        <f>'W-Rev'!O43-(SUM('W-Rev'!O37:O41))</f>
        <v>3597208.1679845671</v>
      </c>
      <c r="P82" s="13">
        <f>'W-Rev'!P43-(SUM('W-Rev'!P37:P41))</f>
        <v>3693442.7653040541</v>
      </c>
      <c r="Q82" s="3"/>
      <c r="R82" s="3"/>
      <c r="S82" s="3"/>
    </row>
    <row r="83" spans="1:25" customFormat="1" ht="12.75" customHeight="1" x14ac:dyDescent="0.25">
      <c r="A83" s="16"/>
      <c r="B83" s="22" t="s">
        <v>236</v>
      </c>
      <c r="C83" s="22"/>
      <c r="D83" s="22"/>
      <c r="E83" s="30">
        <f>SUM('W-Rev'!E37:E41)</f>
        <v>57679.98</v>
      </c>
      <c r="F83" s="30">
        <f>SUM('W-Rev'!F37:F41)</f>
        <v>61620</v>
      </c>
      <c r="G83" s="154">
        <f>SUM('W-Rev'!G37:G41)</f>
        <v>61621.25</v>
      </c>
      <c r="H83" s="30">
        <f>SUM('W-Rev'!H37:H41)</f>
        <v>61617.75</v>
      </c>
      <c r="I83" s="30">
        <f>SUM('W-Rev'!I37:I41)</f>
        <v>61609.5</v>
      </c>
      <c r="J83" s="30">
        <f>SUM('W-Rev'!J37:J41)</f>
        <v>61596.5</v>
      </c>
      <c r="K83" s="30">
        <f>SUM('W-Rev'!K37:K41)</f>
        <v>61578.75</v>
      </c>
      <c r="L83" s="30">
        <f>SUM('W-Rev'!L37:L41)</f>
        <v>61556.25</v>
      </c>
      <c r="M83" s="30">
        <f>SUM('W-Rev'!M37:M41)</f>
        <v>61529</v>
      </c>
      <c r="N83" s="30">
        <f>SUM('W-Rev'!N37:N41)</f>
        <v>61497</v>
      </c>
      <c r="O83" s="30">
        <f>SUM('W-Rev'!O37:O41)</f>
        <v>61460.25</v>
      </c>
      <c r="P83" s="30">
        <f>SUM('W-Rev'!P37:P41)</f>
        <v>61418.75</v>
      </c>
      <c r="Q83" s="3"/>
      <c r="R83" s="3"/>
      <c r="S83" s="3"/>
    </row>
    <row r="84" spans="1:25" customFormat="1" ht="12.75" customHeight="1" x14ac:dyDescent="0.25">
      <c r="A84" s="16"/>
      <c r="B84" s="3" t="s">
        <v>220</v>
      </c>
      <c r="C84" s="3"/>
      <c r="D84" s="3"/>
      <c r="E84" s="13">
        <f t="shared" ref="E84:I84" si="86">SUM(E82:E83)</f>
        <v>1841206.0236749998</v>
      </c>
      <c r="F84" s="13">
        <f t="shared" si="86"/>
        <v>1851238.7345499999</v>
      </c>
      <c r="G84" s="153">
        <f t="shared" si="86"/>
        <v>2833447.2672909996</v>
      </c>
      <c r="H84" s="13">
        <f t="shared" si="86"/>
        <v>3074260.6799229998</v>
      </c>
      <c r="I84" s="13">
        <f t="shared" si="86"/>
        <v>3152831.6108275</v>
      </c>
      <c r="J84" s="13">
        <f t="shared" ref="J84:P84" si="87">SUM(J82:J83)</f>
        <v>3232155.9669717452</v>
      </c>
      <c r="K84" s="13">
        <f t="shared" si="87"/>
        <v>3312256.4936129274</v>
      </c>
      <c r="L84" s="13">
        <f t="shared" si="87"/>
        <v>3393156.6183659555</v>
      </c>
      <c r="M84" s="13">
        <f t="shared" si="87"/>
        <v>3480803.435331184</v>
      </c>
      <c r="N84" s="13">
        <f t="shared" si="87"/>
        <v>3569298.8352082693</v>
      </c>
      <c r="O84" s="13">
        <f t="shared" si="87"/>
        <v>3658668.4179845671</v>
      </c>
      <c r="P84" s="13">
        <f t="shared" si="87"/>
        <v>3754861.5153040541</v>
      </c>
      <c r="Q84" s="3"/>
      <c r="R84" s="3"/>
      <c r="S84" s="3"/>
    </row>
    <row r="85" spans="1:25" customFormat="1" ht="3.9" customHeight="1" x14ac:dyDescent="0.25">
      <c r="G85" s="209"/>
    </row>
    <row r="86" spans="1:25" customFormat="1" ht="12.75" customHeight="1" x14ac:dyDescent="0.25">
      <c r="A86" s="72" t="s">
        <v>228</v>
      </c>
      <c r="B86" s="3"/>
      <c r="C86" s="3"/>
      <c r="D86" s="3"/>
      <c r="E86" s="13"/>
      <c r="F86" s="13"/>
      <c r="G86" s="153"/>
      <c r="H86" s="13"/>
      <c r="I86" s="13"/>
      <c r="J86" s="13"/>
      <c r="K86" s="13"/>
      <c r="L86" s="13"/>
      <c r="M86" s="13"/>
      <c r="N86" s="13"/>
      <c r="O86" s="13"/>
      <c r="P86" s="13"/>
      <c r="Q86" s="3"/>
      <c r="R86" s="3"/>
      <c r="S86" s="3"/>
    </row>
    <row r="87" spans="1:25" ht="12.75" customHeight="1" x14ac:dyDescent="0.25">
      <c r="B87" s="3" t="s">
        <v>221</v>
      </c>
      <c r="D87" s="13"/>
      <c r="E87" s="13">
        <f>Exp!E90-Exp!E84-Exp!E87-Exp!E88-Exp!E89</f>
        <v>2550432</v>
      </c>
      <c r="F87" s="13">
        <f>Exp!F90-Exp!F84-Exp!F87-Exp!F88-Exp!F89</f>
        <v>2573737</v>
      </c>
      <c r="G87" s="153">
        <f>Exp!G90-Exp!G84-Exp!G87-Exp!G88-Exp!G89</f>
        <v>2644800</v>
      </c>
      <c r="H87" s="13">
        <f>Exp!H90-Exp!H84-Exp!H87-Exp!H88-Exp!H89</f>
        <v>2724144</v>
      </c>
      <c r="I87" s="13">
        <f>Exp!I90-Exp!I84-Exp!I87-Exp!I88-Exp!I89</f>
        <v>2805868.32</v>
      </c>
      <c r="J87" s="13">
        <f>Exp!J90-Exp!J84-Exp!J87-Exp!J88-Exp!J89</f>
        <v>2890044.3695999999</v>
      </c>
      <c r="K87" s="13">
        <f>Exp!K90-Exp!K84-Exp!K87-Exp!K88-Exp!K89</f>
        <v>2976745.7006879998</v>
      </c>
      <c r="L87" s="13">
        <f>Exp!L90-Exp!L84-Exp!L87-Exp!L88-Exp!L89</f>
        <v>3066048.0717086401</v>
      </c>
      <c r="M87" s="13">
        <f>Exp!M90-Exp!M84-Exp!M87-Exp!M88-Exp!M89</f>
        <v>3158029.5138598997</v>
      </c>
      <c r="N87" s="13">
        <f>Exp!N90-Exp!N84-Exp!N87-Exp!N88-Exp!N89</f>
        <v>3252770.3992756968</v>
      </c>
      <c r="O87" s="13">
        <f>Exp!O90-Exp!O84-Exp!O87-Exp!O88-Exp!O89</f>
        <v>3350353.5112539679</v>
      </c>
      <c r="P87" s="13">
        <f>Exp!P90-Exp!P84-Exp!P87-Exp!P88-Exp!P89</f>
        <v>3450864.1165915867</v>
      </c>
      <c r="Q87"/>
      <c r="R87"/>
      <c r="S87"/>
      <c r="U87"/>
      <c r="Y87"/>
    </row>
    <row r="88" spans="1:25" ht="12.75" customHeight="1" x14ac:dyDescent="0.25">
      <c r="B88" s="3" t="s">
        <v>71</v>
      </c>
      <c r="D88" s="13"/>
      <c r="E88" s="13">
        <f>Exp!E84</f>
        <v>0</v>
      </c>
      <c r="F88" s="13">
        <f>Exp!F84</f>
        <v>0</v>
      </c>
      <c r="G88" s="153">
        <f>Exp!G84</f>
        <v>0</v>
      </c>
      <c r="H88" s="13">
        <f>Exp!H84</f>
        <v>0</v>
      </c>
      <c r="I88" s="13">
        <f>Exp!I84</f>
        <v>0</v>
      </c>
      <c r="J88" s="13">
        <f>Exp!J84</f>
        <v>0</v>
      </c>
      <c r="K88" s="13">
        <f>Exp!K84</f>
        <v>0</v>
      </c>
      <c r="L88" s="13">
        <f>Exp!L84</f>
        <v>0</v>
      </c>
      <c r="M88" s="13">
        <f>Exp!M84</f>
        <v>0</v>
      </c>
      <c r="N88" s="13">
        <f>Exp!N84</f>
        <v>0</v>
      </c>
      <c r="O88" s="13">
        <f>Exp!O84</f>
        <v>0</v>
      </c>
      <c r="P88" s="13">
        <f>Exp!P84</f>
        <v>0</v>
      </c>
      <c r="Q88"/>
      <c r="R88" s="387"/>
      <c r="S88"/>
      <c r="U88"/>
      <c r="Y88"/>
    </row>
    <row r="89" spans="1:25" ht="12.75" customHeight="1" x14ac:dyDescent="0.25">
      <c r="B89" s="3" t="s">
        <v>50</v>
      </c>
      <c r="D89" s="13"/>
      <c r="E89" s="13"/>
      <c r="F89" s="13"/>
      <c r="G89" s="153"/>
      <c r="M89" s="13"/>
      <c r="N89" s="13"/>
      <c r="O89" s="13"/>
      <c r="P89" s="13"/>
      <c r="Q89"/>
      <c r="R89"/>
      <c r="S89"/>
      <c r="U89"/>
      <c r="Y89"/>
    </row>
    <row r="90" spans="1:25" ht="12.75" customHeight="1" x14ac:dyDescent="0.25">
      <c r="B90" s="3" t="s">
        <v>51</v>
      </c>
      <c r="D90" s="13"/>
      <c r="E90" s="20">
        <f>Debt!E170</f>
        <v>57679.98</v>
      </c>
      <c r="F90" s="20">
        <f>Debt!F170</f>
        <v>61620</v>
      </c>
      <c r="G90" s="160">
        <f>Debt!G170</f>
        <v>61621.25</v>
      </c>
      <c r="H90" s="20">
        <f>Debt!H170</f>
        <v>61617.75</v>
      </c>
      <c r="I90" s="20">
        <f>Debt!I170</f>
        <v>61609.5</v>
      </c>
      <c r="J90" s="20">
        <f>Debt!J170</f>
        <v>61596.5</v>
      </c>
      <c r="K90" s="20">
        <f>Debt!K170</f>
        <v>61578.75</v>
      </c>
      <c r="L90" s="20">
        <f>Debt!L170</f>
        <v>61556.25</v>
      </c>
      <c r="M90" s="20">
        <f>Debt!M170</f>
        <v>61529</v>
      </c>
      <c r="N90" s="20">
        <f>Debt!N170</f>
        <v>61497</v>
      </c>
      <c r="O90" s="20">
        <f>Debt!O170</f>
        <v>61460.25</v>
      </c>
      <c r="P90" s="20">
        <f>Debt!P170</f>
        <v>61418.75</v>
      </c>
      <c r="Q90"/>
      <c r="R90"/>
      <c r="S90"/>
      <c r="U90"/>
      <c r="Y90"/>
    </row>
    <row r="91" spans="1:25" ht="12.75" customHeight="1" x14ac:dyDescent="0.25">
      <c r="B91" s="22" t="s">
        <v>52</v>
      </c>
      <c r="C91" s="22"/>
      <c r="D91" s="30"/>
      <c r="E91" s="30">
        <f>Debt!E187</f>
        <v>0</v>
      </c>
      <c r="F91" s="30">
        <f>Debt!F187</f>
        <v>0</v>
      </c>
      <c r="G91" s="154">
        <f>Debt!G187</f>
        <v>0</v>
      </c>
      <c r="H91" s="30">
        <f>Debt!H187</f>
        <v>0</v>
      </c>
      <c r="I91" s="30">
        <f>Debt!I187</f>
        <v>0</v>
      </c>
      <c r="J91" s="30">
        <f>Debt!J187</f>
        <v>0</v>
      </c>
      <c r="K91" s="30">
        <f>Debt!K187</f>
        <v>0</v>
      </c>
      <c r="L91" s="30">
        <f>Debt!L187</f>
        <v>0</v>
      </c>
      <c r="M91" s="30">
        <f>Debt!M187</f>
        <v>0</v>
      </c>
      <c r="N91" s="30">
        <f>Debt!N187</f>
        <v>0</v>
      </c>
      <c r="O91" s="30">
        <f>Debt!O187</f>
        <v>0</v>
      </c>
      <c r="P91" s="30">
        <f>Debt!P187</f>
        <v>0</v>
      </c>
      <c r="Q91"/>
      <c r="R91"/>
      <c r="S91"/>
      <c r="U91"/>
      <c r="Y91"/>
    </row>
    <row r="92" spans="1:25" ht="12.75" customHeight="1" x14ac:dyDescent="0.25">
      <c r="B92" s="3" t="s">
        <v>53</v>
      </c>
      <c r="D92" s="13"/>
      <c r="E92" s="13">
        <f t="shared" ref="E92:I92" si="88">SUM(E90:E91)</f>
        <v>57679.98</v>
      </c>
      <c r="F92" s="13">
        <f t="shared" si="88"/>
        <v>61620</v>
      </c>
      <c r="G92" s="153">
        <f t="shared" si="88"/>
        <v>61621.25</v>
      </c>
      <c r="H92" s="13">
        <f t="shared" si="88"/>
        <v>61617.75</v>
      </c>
      <c r="I92" s="13">
        <f t="shared" si="88"/>
        <v>61609.5</v>
      </c>
      <c r="J92" s="13">
        <f t="shared" ref="J92:P92" si="89">SUM(J90:J91)</f>
        <v>61596.5</v>
      </c>
      <c r="K92" s="13">
        <f t="shared" si="89"/>
        <v>61578.75</v>
      </c>
      <c r="L92" s="13">
        <f t="shared" si="89"/>
        <v>61556.25</v>
      </c>
      <c r="M92" s="13">
        <f t="shared" si="89"/>
        <v>61529</v>
      </c>
      <c r="N92" s="13">
        <f t="shared" si="89"/>
        <v>61497</v>
      </c>
      <c r="O92" s="13">
        <f t="shared" si="89"/>
        <v>61460.25</v>
      </c>
      <c r="P92" s="13">
        <f t="shared" si="89"/>
        <v>61418.75</v>
      </c>
      <c r="Q92"/>
      <c r="R92"/>
      <c r="S92"/>
      <c r="U92"/>
      <c r="Y92"/>
    </row>
    <row r="93" spans="1:25" ht="12.75" customHeight="1" x14ac:dyDescent="0.25">
      <c r="B93" s="3" t="s">
        <v>54</v>
      </c>
      <c r="D93" s="13"/>
      <c r="E93" s="13"/>
      <c r="F93" s="13"/>
      <c r="G93" s="153"/>
      <c r="M93" s="13"/>
      <c r="N93" s="13"/>
      <c r="O93" s="13"/>
      <c r="P93" s="13"/>
      <c r="Q93"/>
      <c r="R93"/>
      <c r="S93"/>
      <c r="U93"/>
      <c r="Y93"/>
    </row>
    <row r="94" spans="1:25" ht="12.75" customHeight="1" x14ac:dyDescent="0.25">
      <c r="B94" s="3" t="s">
        <v>72</v>
      </c>
      <c r="D94" s="13"/>
      <c r="E94" s="20">
        <v>0</v>
      </c>
      <c r="F94" s="20">
        <v>0</v>
      </c>
      <c r="G94" s="160">
        <v>0</v>
      </c>
      <c r="H94" s="20">
        <v>0</v>
      </c>
      <c r="I94" s="20">
        <v>0</v>
      </c>
      <c r="J94" s="20">
        <v>0</v>
      </c>
      <c r="K94" s="20">
        <v>0</v>
      </c>
      <c r="L94" s="20">
        <v>0</v>
      </c>
      <c r="M94" s="20">
        <v>0</v>
      </c>
      <c r="N94" s="20">
        <v>0</v>
      </c>
      <c r="O94" s="20">
        <v>0</v>
      </c>
      <c r="P94" s="20">
        <v>0</v>
      </c>
      <c r="Q94"/>
      <c r="R94"/>
      <c r="S94"/>
      <c r="U94"/>
      <c r="Y94"/>
    </row>
    <row r="95" spans="1:25" ht="12.75" customHeight="1" x14ac:dyDescent="0.25">
      <c r="B95" s="22" t="s">
        <v>331</v>
      </c>
      <c r="C95" s="22"/>
      <c r="D95" s="30"/>
      <c r="E95" s="76">
        <f>Exp!E87+Exp!E89</f>
        <v>0</v>
      </c>
      <c r="F95" s="76">
        <f>Exp!F87+Exp!F89</f>
        <v>0</v>
      </c>
      <c r="G95" s="177">
        <f>Exp!G87+Exp!G89</f>
        <v>55436.520345819998</v>
      </c>
      <c r="H95" s="76">
        <f>Exp!H87+Exp!H89</f>
        <v>80436.520345819998</v>
      </c>
      <c r="I95" s="76">
        <f>Exp!I87+Exp!I89</f>
        <v>80436.520345819998</v>
      </c>
      <c r="J95" s="76">
        <f>Exp!J87+Exp!J89</f>
        <v>80436.520345819998</v>
      </c>
      <c r="K95" s="76">
        <f>Exp!K87+Exp!K89</f>
        <v>80436.520345819998</v>
      </c>
      <c r="L95" s="76">
        <f>Exp!L87+Exp!L89</f>
        <v>80436.520345819998</v>
      </c>
      <c r="M95" s="76">
        <f>Exp!M87+Exp!M89</f>
        <v>80436.520345819998</v>
      </c>
      <c r="N95" s="76">
        <f>Exp!N87+Exp!N89</f>
        <v>80436.520345819998</v>
      </c>
      <c r="O95" s="76">
        <f>Exp!O87+Exp!O89</f>
        <v>80436.520345819998</v>
      </c>
      <c r="P95" s="76">
        <f>Exp!P87+Exp!P89</f>
        <v>80436.520345819998</v>
      </c>
      <c r="Q95"/>
      <c r="R95"/>
      <c r="S95"/>
      <c r="U95"/>
      <c r="Y95"/>
    </row>
    <row r="96" spans="1:25" ht="12.75" customHeight="1" x14ac:dyDescent="0.25">
      <c r="B96" s="3" t="s">
        <v>134</v>
      </c>
      <c r="D96" s="13"/>
      <c r="E96" s="13">
        <f t="shared" ref="E96:I96" si="90">SUM(E94:E95)</f>
        <v>0</v>
      </c>
      <c r="F96" s="13">
        <f t="shared" si="90"/>
        <v>0</v>
      </c>
      <c r="G96" s="153">
        <f t="shared" si="90"/>
        <v>55436.520345819998</v>
      </c>
      <c r="H96" s="13">
        <f t="shared" si="90"/>
        <v>80436.520345819998</v>
      </c>
      <c r="I96" s="13">
        <f t="shared" si="90"/>
        <v>80436.520345819998</v>
      </c>
      <c r="J96" s="13">
        <f t="shared" ref="J96:P96" si="91">SUM(J94:J95)</f>
        <v>80436.520345819998</v>
      </c>
      <c r="K96" s="13">
        <f t="shared" si="91"/>
        <v>80436.520345819998</v>
      </c>
      <c r="L96" s="13">
        <f t="shared" si="91"/>
        <v>80436.520345819998</v>
      </c>
      <c r="M96" s="13">
        <f t="shared" si="91"/>
        <v>80436.520345819998</v>
      </c>
      <c r="N96" s="13">
        <f t="shared" si="91"/>
        <v>80436.520345819998</v>
      </c>
      <c r="O96" s="13">
        <f t="shared" si="91"/>
        <v>80436.520345819998</v>
      </c>
      <c r="P96" s="13">
        <f t="shared" si="91"/>
        <v>80436.520345819998</v>
      </c>
      <c r="Q96"/>
      <c r="R96"/>
      <c r="S96"/>
      <c r="U96"/>
      <c r="Y96"/>
    </row>
    <row r="97" spans="1:19" customFormat="1" ht="12.75" customHeight="1" x14ac:dyDescent="0.25">
      <c r="A97" s="16"/>
      <c r="B97" s="42"/>
      <c r="C97" s="22"/>
      <c r="D97" s="22"/>
      <c r="E97" s="30"/>
      <c r="F97" s="30"/>
      <c r="G97" s="154"/>
      <c r="H97" s="30"/>
      <c r="I97" s="30"/>
      <c r="J97" s="30"/>
      <c r="K97" s="30"/>
      <c r="L97" s="30"/>
      <c r="M97" s="30"/>
      <c r="N97" s="30"/>
      <c r="O97" s="30"/>
      <c r="P97" s="30"/>
      <c r="Q97" s="3"/>
      <c r="R97" s="3"/>
      <c r="S97" s="3"/>
    </row>
    <row r="98" spans="1:19" customFormat="1" ht="12.75" customHeight="1" x14ac:dyDescent="0.25">
      <c r="A98" s="16"/>
      <c r="B98" s="3" t="s">
        <v>234</v>
      </c>
      <c r="C98" s="3"/>
      <c r="D98" s="3"/>
      <c r="E98" s="20">
        <f>SUM(E87:E88)+E92+E96</f>
        <v>2608111.98</v>
      </c>
      <c r="F98" s="13">
        <f t="shared" ref="F98:I98" si="92">SUM(F87:F88)+F92+F96</f>
        <v>2635357</v>
      </c>
      <c r="G98" s="153">
        <f t="shared" si="92"/>
        <v>2761857.7703458201</v>
      </c>
      <c r="H98" s="13">
        <f t="shared" si="92"/>
        <v>2866198.2703458201</v>
      </c>
      <c r="I98" s="13">
        <f t="shared" si="92"/>
        <v>2947914.3403458199</v>
      </c>
      <c r="J98" s="13">
        <f t="shared" ref="J98:P98" si="93">SUM(J87:J88)+J92+J96</f>
        <v>3032077.38994582</v>
      </c>
      <c r="K98" s="13">
        <f t="shared" si="93"/>
        <v>3118760.97103382</v>
      </c>
      <c r="L98" s="13">
        <f t="shared" si="93"/>
        <v>3208040.8420544602</v>
      </c>
      <c r="M98" s="13">
        <f t="shared" si="93"/>
        <v>3299995.0342057198</v>
      </c>
      <c r="N98" s="13">
        <f t="shared" si="93"/>
        <v>3394703.919621517</v>
      </c>
      <c r="O98" s="13">
        <f t="shared" si="93"/>
        <v>3492250.281599788</v>
      </c>
      <c r="P98" s="13">
        <f t="shared" si="93"/>
        <v>3592719.3869374068</v>
      </c>
      <c r="Q98" s="3"/>
      <c r="R98" s="3"/>
      <c r="S98" s="3"/>
    </row>
    <row r="99" spans="1:19" customFormat="1" ht="3.9" customHeight="1" thickBot="1" x14ac:dyDescent="0.3">
      <c r="A99" s="31"/>
      <c r="B99" s="32"/>
      <c r="C99" s="32"/>
      <c r="D99" s="32"/>
      <c r="E99" s="33"/>
      <c r="F99" s="33"/>
      <c r="G99" s="174"/>
      <c r="H99" s="33"/>
      <c r="I99" s="33"/>
      <c r="J99" s="33"/>
      <c r="K99" s="33"/>
      <c r="L99" s="33"/>
      <c r="M99" s="33"/>
      <c r="N99" s="33"/>
      <c r="O99" s="33"/>
      <c r="P99" s="33"/>
      <c r="Q99" s="3"/>
      <c r="R99" s="3"/>
      <c r="S99" s="3"/>
    </row>
    <row r="100" spans="1:19" customFormat="1" ht="12.75" customHeight="1" thickTop="1" x14ac:dyDescent="0.25">
      <c r="A100" s="77" t="s">
        <v>164</v>
      </c>
      <c r="B100" s="3"/>
      <c r="C100" s="3"/>
      <c r="D100" s="3"/>
      <c r="E100" s="434">
        <f t="shared" ref="E100:I100" si="94">E84-E98</f>
        <v>-766905.95632500015</v>
      </c>
      <c r="F100" s="434">
        <f t="shared" si="94"/>
        <v>-784118.26545000006</v>
      </c>
      <c r="G100" s="435">
        <f t="shared" si="94"/>
        <v>71589.496945179533</v>
      </c>
      <c r="H100" s="434">
        <f t="shared" si="94"/>
        <v>208062.4095771797</v>
      </c>
      <c r="I100" s="434">
        <f t="shared" si="94"/>
        <v>204917.27048168005</v>
      </c>
      <c r="J100" s="434">
        <f t="shared" ref="J100:P100" si="95">J84-J98</f>
        <v>200078.57702592527</v>
      </c>
      <c r="K100" s="434">
        <f t="shared" si="95"/>
        <v>193495.52257910743</v>
      </c>
      <c r="L100" s="434">
        <f t="shared" si="95"/>
        <v>185115.77631149534</v>
      </c>
      <c r="M100" s="434">
        <f t="shared" si="95"/>
        <v>180808.40112546412</v>
      </c>
      <c r="N100" s="434">
        <f t="shared" si="95"/>
        <v>174594.91558675235</v>
      </c>
      <c r="O100" s="434">
        <f t="shared" si="95"/>
        <v>166418.13638477912</v>
      </c>
      <c r="P100" s="434">
        <f t="shared" si="95"/>
        <v>162142.12836664729</v>
      </c>
      <c r="Q100" s="3"/>
      <c r="R100" s="3"/>
      <c r="S100" s="3"/>
    </row>
    <row r="101" spans="1:19" customFormat="1" ht="3.9" customHeight="1" thickBot="1" x14ac:dyDescent="0.3">
      <c r="A101" s="31"/>
      <c r="B101" s="32"/>
      <c r="C101" s="32"/>
      <c r="D101" s="32"/>
      <c r="E101" s="33"/>
      <c r="F101" s="33"/>
      <c r="G101" s="174"/>
      <c r="H101" s="33"/>
      <c r="I101" s="33"/>
      <c r="J101" s="33"/>
      <c r="K101" s="33"/>
      <c r="L101" s="33"/>
      <c r="M101" s="33"/>
      <c r="N101" s="33"/>
      <c r="O101" s="33"/>
      <c r="P101" s="33"/>
      <c r="Q101" s="3"/>
      <c r="R101" s="3"/>
      <c r="S101" s="3"/>
    </row>
    <row r="102" spans="1:19" customFormat="1" ht="12.75" customHeight="1" thickTop="1" x14ac:dyDescent="0.25">
      <c r="A102" s="72" t="s">
        <v>229</v>
      </c>
      <c r="B102" s="3"/>
      <c r="C102" s="3"/>
      <c r="D102" s="3"/>
      <c r="E102" s="13"/>
      <c r="F102" s="411">
        <f>684024/2</f>
        <v>342012</v>
      </c>
      <c r="G102" s="160">
        <f t="shared" ref="G102:I102" si="96">G79+G100</f>
        <v>413601.49694517953</v>
      </c>
      <c r="H102" s="13">
        <f t="shared" si="96"/>
        <v>621663.90652235923</v>
      </c>
      <c r="I102" s="13">
        <f t="shared" si="96"/>
        <v>826581.17700403929</v>
      </c>
      <c r="J102" s="13">
        <f t="shared" ref="J102:P102" si="97">J79+J100</f>
        <v>1026659.7540299646</v>
      </c>
      <c r="K102" s="13">
        <f t="shared" si="97"/>
        <v>1220155.276609072</v>
      </c>
      <c r="L102" s="13">
        <f t="shared" si="97"/>
        <v>1405271.0529205673</v>
      </c>
      <c r="M102" s="13">
        <f t="shared" si="97"/>
        <v>1586079.4540460315</v>
      </c>
      <c r="N102" s="13">
        <f t="shared" si="97"/>
        <v>1760674.3696327838</v>
      </c>
      <c r="O102" s="13">
        <f t="shared" si="97"/>
        <v>1927092.5060175629</v>
      </c>
      <c r="P102" s="13">
        <f t="shared" si="97"/>
        <v>2089234.6343842102</v>
      </c>
      <c r="Q102" s="13"/>
      <c r="R102" s="3"/>
      <c r="S102" s="3"/>
    </row>
    <row r="103" spans="1:19" customFormat="1" ht="3.9" customHeight="1" thickBot="1" x14ac:dyDescent="0.3">
      <c r="A103" s="14"/>
      <c r="B103" s="7"/>
      <c r="C103" s="7"/>
      <c r="D103" s="7"/>
      <c r="E103" s="15"/>
      <c r="F103" s="15"/>
      <c r="G103" s="155"/>
      <c r="H103" s="15"/>
      <c r="I103" s="15"/>
      <c r="J103" s="15"/>
      <c r="K103" s="15"/>
      <c r="L103" s="15"/>
      <c r="M103" s="15"/>
      <c r="N103" s="15"/>
      <c r="O103" s="15"/>
      <c r="P103" s="15"/>
      <c r="Q103" s="3"/>
      <c r="R103" s="3"/>
      <c r="S103" s="3"/>
    </row>
    <row r="104" spans="1:19" customFormat="1" ht="3.9" customHeight="1" x14ac:dyDescent="0.25">
      <c r="A104" s="16"/>
      <c r="B104" s="3"/>
      <c r="C104" s="3"/>
      <c r="D104" s="3"/>
      <c r="E104" s="13"/>
      <c r="F104" s="13"/>
      <c r="G104" s="153"/>
      <c r="H104" s="13"/>
      <c r="I104" s="13"/>
      <c r="J104" s="13"/>
      <c r="K104" s="13"/>
      <c r="L104" s="13"/>
      <c r="M104" s="13"/>
      <c r="N104" s="13"/>
      <c r="O104" s="13"/>
      <c r="P104" s="13"/>
      <c r="Q104" s="3"/>
      <c r="R104" s="3"/>
      <c r="S104" s="3"/>
    </row>
    <row r="105" spans="1:19" customFormat="1" ht="12.75" customHeight="1" x14ac:dyDescent="0.25">
      <c r="A105" s="77" t="s">
        <v>245</v>
      </c>
      <c r="B105" s="3"/>
      <c r="C105" s="3"/>
      <c r="D105" s="3"/>
      <c r="E105" s="20"/>
      <c r="F105" s="20"/>
      <c r="G105" s="153"/>
      <c r="H105" s="13"/>
      <c r="I105" s="13"/>
      <c r="J105" s="13"/>
      <c r="K105" s="13"/>
      <c r="L105" s="13"/>
      <c r="M105" s="13"/>
      <c r="N105" s="13"/>
      <c r="O105" s="13"/>
      <c r="P105" s="13"/>
      <c r="Q105" s="3"/>
      <c r="R105" s="3"/>
      <c r="S105" s="3"/>
    </row>
    <row r="106" spans="1:19" customFormat="1" ht="12.75" customHeight="1" x14ac:dyDescent="0.25">
      <c r="A106" s="62" t="s">
        <v>247</v>
      </c>
      <c r="B106" s="3"/>
      <c r="C106" s="3"/>
      <c r="D106" s="3"/>
      <c r="E106" s="20">
        <f t="shared" ref="E106:I106" si="98">E102-D102</f>
        <v>0</v>
      </c>
      <c r="F106" s="20">
        <f t="shared" si="98"/>
        <v>342012</v>
      </c>
      <c r="G106" s="153">
        <f t="shared" si="98"/>
        <v>71589.496945179533</v>
      </c>
      <c r="H106" s="13">
        <f t="shared" si="98"/>
        <v>208062.4095771797</v>
      </c>
      <c r="I106" s="13">
        <f t="shared" si="98"/>
        <v>204917.27048168005</v>
      </c>
      <c r="J106" s="13">
        <f t="shared" ref="J106" si="99">J102-I102</f>
        <v>200078.57702592527</v>
      </c>
      <c r="K106" s="13">
        <f t="shared" ref="K106" si="100">K102-J102</f>
        <v>193495.52257910743</v>
      </c>
      <c r="L106" s="13">
        <f t="shared" ref="L106" si="101">L102-K102</f>
        <v>185115.77631149534</v>
      </c>
      <c r="M106" s="13">
        <f t="shared" ref="M106" si="102">M102-L102</f>
        <v>180808.40112546412</v>
      </c>
      <c r="N106" s="13">
        <f t="shared" ref="N106" si="103">N102-M102</f>
        <v>174594.91558675235</v>
      </c>
      <c r="O106" s="13">
        <f t="shared" ref="O106" si="104">O102-N102</f>
        <v>166418.13638477912</v>
      </c>
      <c r="P106" s="13">
        <f t="shared" ref="P106" si="105">P102-O102</f>
        <v>162142.12836664729</v>
      </c>
      <c r="Q106" s="3"/>
      <c r="R106" s="3"/>
      <c r="S106" s="3"/>
    </row>
    <row r="107" spans="1:19" customFormat="1" ht="12.75" customHeight="1" x14ac:dyDescent="0.25">
      <c r="A107" s="74" t="s">
        <v>249</v>
      </c>
      <c r="B107" s="3"/>
      <c r="C107" s="3"/>
      <c r="D107" s="3"/>
      <c r="E107" s="54">
        <f t="shared" ref="E107:I107" si="106">E102/E98</f>
        <v>0</v>
      </c>
      <c r="F107" s="54">
        <f t="shared" si="106"/>
        <v>0.12977824256827444</v>
      </c>
      <c r="G107" s="156">
        <f t="shared" si="106"/>
        <v>0.1497548140914553</v>
      </c>
      <c r="H107" s="23">
        <f t="shared" si="106"/>
        <v>0.21689494162152034</v>
      </c>
      <c r="I107" s="23">
        <f t="shared" si="106"/>
        <v>0.2803952495129397</v>
      </c>
      <c r="J107" s="23">
        <f t="shared" ref="J107:P107" si="107">J102/J98</f>
        <v>0.33859945575080125</v>
      </c>
      <c r="K107" s="23">
        <f t="shared" si="107"/>
        <v>0.39123077656208127</v>
      </c>
      <c r="L107" s="23">
        <f t="shared" si="107"/>
        <v>0.43804649694566178</v>
      </c>
      <c r="M107" s="23">
        <f t="shared" si="107"/>
        <v>0.48063086083636697</v>
      </c>
      <c r="N107" s="23">
        <f t="shared" si="107"/>
        <v>0.51865329387226367</v>
      </c>
      <c r="O107" s="23">
        <f t="shared" si="107"/>
        <v>0.55181970094502175</v>
      </c>
      <c r="P107" s="23">
        <f t="shared" si="107"/>
        <v>0.58151901369763426</v>
      </c>
      <c r="Q107" s="3"/>
      <c r="R107" s="3"/>
      <c r="S107" s="3"/>
    </row>
    <row r="108" spans="1:19" customFormat="1" ht="12.75" customHeight="1" x14ac:dyDescent="0.25">
      <c r="A108" s="74" t="s">
        <v>273</v>
      </c>
      <c r="B108" s="3"/>
      <c r="C108" s="3"/>
      <c r="D108" s="3"/>
      <c r="E108" s="54"/>
      <c r="F108" s="54"/>
      <c r="G108" s="412">
        <f>(G98-G95)*G111</f>
        <v>1353210.625</v>
      </c>
      <c r="H108" s="413">
        <f t="shared" ref="H108:I108" si="108">(H98-H95)*H111</f>
        <v>1392880.875</v>
      </c>
      <c r="I108" s="413">
        <f t="shared" si="108"/>
        <v>1433738.91</v>
      </c>
      <c r="J108" s="413">
        <f t="shared" ref="J108:P108" si="109">(J98-J95)*J111</f>
        <v>1475820.4347999999</v>
      </c>
      <c r="K108" s="413">
        <f t="shared" si="109"/>
        <v>1519162.2253439999</v>
      </c>
      <c r="L108" s="413">
        <f t="shared" si="109"/>
        <v>1563802.16085432</v>
      </c>
      <c r="M108" s="413">
        <f t="shared" si="109"/>
        <v>1609779.2569299499</v>
      </c>
      <c r="N108" s="413">
        <f t="shared" si="109"/>
        <v>1657133.6996378484</v>
      </c>
      <c r="O108" s="413">
        <f t="shared" si="109"/>
        <v>1705906.8806269839</v>
      </c>
      <c r="P108" s="413">
        <f t="shared" si="109"/>
        <v>1756141.4332957934</v>
      </c>
      <c r="Q108" s="3"/>
      <c r="R108" s="3"/>
      <c r="S108" s="3"/>
    </row>
    <row r="109" spans="1:19" customFormat="1" ht="3.9" customHeight="1" x14ac:dyDescent="0.25">
      <c r="A109" s="74"/>
      <c r="B109" s="3"/>
      <c r="C109" s="3"/>
      <c r="D109" s="3"/>
      <c r="E109" s="45"/>
      <c r="F109" s="45"/>
      <c r="G109" s="157"/>
      <c r="H109" s="34"/>
      <c r="I109" s="34"/>
      <c r="J109" s="34"/>
      <c r="K109" s="34"/>
      <c r="L109" s="34"/>
      <c r="M109" s="34"/>
      <c r="N109" s="34"/>
      <c r="O109" s="34"/>
      <c r="P109" s="34"/>
      <c r="Q109" s="3"/>
      <c r="R109" s="3"/>
      <c r="S109" s="3"/>
    </row>
    <row r="110" spans="1:19" customFormat="1" ht="12.75" customHeight="1" x14ac:dyDescent="0.25">
      <c r="A110" s="74" t="s">
        <v>69</v>
      </c>
      <c r="B110" s="3"/>
      <c r="C110" s="3"/>
      <c r="D110" s="3"/>
      <c r="E110" s="210">
        <f>(E102-E95)/E98</f>
        <v>0</v>
      </c>
      <c r="F110" s="210">
        <f t="shared" ref="F110:I110" si="110">F102/F98</f>
        <v>0.12977824256827444</v>
      </c>
      <c r="G110" s="161">
        <f t="shared" si="110"/>
        <v>0.1497548140914553</v>
      </c>
      <c r="H110" s="38">
        <f t="shared" si="110"/>
        <v>0.21689494162152034</v>
      </c>
      <c r="I110" s="38">
        <f t="shared" si="110"/>
        <v>0.2803952495129397</v>
      </c>
      <c r="J110" s="38">
        <f t="shared" ref="J110:P110" si="111">J102/J98</f>
        <v>0.33859945575080125</v>
      </c>
      <c r="K110" s="38">
        <f t="shared" si="111"/>
        <v>0.39123077656208127</v>
      </c>
      <c r="L110" s="38">
        <f t="shared" si="111"/>
        <v>0.43804649694566178</v>
      </c>
      <c r="M110" s="38">
        <f t="shared" si="111"/>
        <v>0.48063086083636697</v>
      </c>
      <c r="N110" s="38">
        <f t="shared" si="111"/>
        <v>0.51865329387226367</v>
      </c>
      <c r="O110" s="38">
        <f t="shared" si="111"/>
        <v>0.55181970094502175</v>
      </c>
      <c r="P110" s="38">
        <f t="shared" si="111"/>
        <v>0.58151901369763426</v>
      </c>
      <c r="Q110" s="38"/>
      <c r="R110" s="3"/>
      <c r="S110" s="3"/>
    </row>
    <row r="111" spans="1:19" customFormat="1" ht="12.75" customHeight="1" x14ac:dyDescent="0.25">
      <c r="A111" s="74" t="s">
        <v>70</v>
      </c>
      <c r="B111" s="3"/>
      <c r="C111" s="3"/>
      <c r="D111" s="3"/>
      <c r="E111" s="60">
        <f>E$38</f>
        <v>0.5</v>
      </c>
      <c r="F111" s="60">
        <f t="shared" ref="F111:P111" si="112">F$38</f>
        <v>0.5</v>
      </c>
      <c r="G111" s="229">
        <f t="shared" si="112"/>
        <v>0.5</v>
      </c>
      <c r="H111" s="60">
        <f t="shared" si="112"/>
        <v>0.5</v>
      </c>
      <c r="I111" s="60">
        <f t="shared" si="112"/>
        <v>0.5</v>
      </c>
      <c r="J111" s="60">
        <f t="shared" si="112"/>
        <v>0.5</v>
      </c>
      <c r="K111" s="60">
        <f t="shared" si="112"/>
        <v>0.5</v>
      </c>
      <c r="L111" s="60">
        <f t="shared" si="112"/>
        <v>0.5</v>
      </c>
      <c r="M111" s="60">
        <f t="shared" si="112"/>
        <v>0.5</v>
      </c>
      <c r="N111" s="60">
        <f t="shared" si="112"/>
        <v>0.5</v>
      </c>
      <c r="O111" s="60">
        <f t="shared" si="112"/>
        <v>0.5</v>
      </c>
      <c r="P111" s="60">
        <f t="shared" si="112"/>
        <v>0.5</v>
      </c>
      <c r="Q111" s="3"/>
      <c r="R111" s="3"/>
      <c r="S111" s="3"/>
    </row>
    <row r="112" spans="1:19" customFormat="1" ht="12.75" customHeight="1" x14ac:dyDescent="0.25">
      <c r="A112" s="74" t="s">
        <v>248</v>
      </c>
      <c r="B112" s="3"/>
      <c r="C112" s="3"/>
      <c r="D112" s="3"/>
      <c r="E112" s="210">
        <f t="shared" ref="E112:I112" si="113">E110-E111</f>
        <v>-0.5</v>
      </c>
      <c r="F112" s="210">
        <f t="shared" si="113"/>
        <v>-0.37022175743172558</v>
      </c>
      <c r="G112" s="161">
        <f t="shared" si="113"/>
        <v>-0.3502451859085447</v>
      </c>
      <c r="H112" s="38">
        <f t="shared" si="113"/>
        <v>-0.28310505837847966</v>
      </c>
      <c r="I112" s="38">
        <f t="shared" si="113"/>
        <v>-0.2196047504870603</v>
      </c>
      <c r="J112" s="38">
        <f t="shared" ref="J112:P112" si="114">J110-J111</f>
        <v>-0.16140054424919875</v>
      </c>
      <c r="K112" s="38">
        <f t="shared" si="114"/>
        <v>-0.10876922343791873</v>
      </c>
      <c r="L112" s="38">
        <f t="shared" si="114"/>
        <v>-6.1953503054338221E-2</v>
      </c>
      <c r="M112" s="38">
        <f t="shared" si="114"/>
        <v>-1.9369139163633031E-2</v>
      </c>
      <c r="N112" s="38">
        <f t="shared" si="114"/>
        <v>1.8653293872263665E-2</v>
      </c>
      <c r="O112" s="38">
        <f t="shared" si="114"/>
        <v>5.1819700945021752E-2</v>
      </c>
      <c r="P112" s="38">
        <f t="shared" si="114"/>
        <v>8.1519013697634257E-2</v>
      </c>
      <c r="Q112" s="3"/>
      <c r="R112" s="3"/>
      <c r="S112" s="3"/>
    </row>
    <row r="113" spans="1:19" customFormat="1" ht="3.9" customHeight="1" x14ac:dyDescent="0.25">
      <c r="A113" s="74"/>
      <c r="B113" s="3"/>
      <c r="C113" s="3"/>
      <c r="D113" s="3"/>
      <c r="E113" s="45"/>
      <c r="F113" s="45"/>
      <c r="G113" s="157"/>
      <c r="H113" s="34"/>
      <c r="I113" s="34"/>
      <c r="J113" s="34"/>
      <c r="K113" s="34"/>
      <c r="L113" s="34"/>
      <c r="M113" s="34"/>
      <c r="N113" s="34"/>
      <c r="O113" s="34"/>
      <c r="P113" s="34"/>
      <c r="Q113" s="3"/>
      <c r="R113" s="3"/>
      <c r="S113" s="3"/>
    </row>
    <row r="114" spans="1:19" customFormat="1" ht="12.75" customHeight="1" x14ac:dyDescent="0.25">
      <c r="A114" s="74" t="s">
        <v>198</v>
      </c>
      <c r="B114" s="3"/>
      <c r="C114" s="3"/>
      <c r="D114" s="3"/>
      <c r="E114" s="20">
        <f>E82-E87-E94</f>
        <v>-766905.95632500015</v>
      </c>
      <c r="F114" s="20">
        <f t="shared" ref="F114:I114" si="115">F82-F87-F94</f>
        <v>-784118.26545000006</v>
      </c>
      <c r="G114" s="153">
        <f t="shared" si="115"/>
        <v>127026.01729099965</v>
      </c>
      <c r="H114" s="13">
        <f t="shared" si="115"/>
        <v>288498.92992299981</v>
      </c>
      <c r="I114" s="13">
        <f t="shared" si="115"/>
        <v>285353.79082750017</v>
      </c>
      <c r="J114" s="13">
        <f t="shared" ref="J114:P114" si="116">J82-J87-J94</f>
        <v>280515.09737174539</v>
      </c>
      <c r="K114" s="13">
        <f t="shared" si="116"/>
        <v>273932.04292492755</v>
      </c>
      <c r="L114" s="13">
        <f t="shared" si="116"/>
        <v>265552.29665731546</v>
      </c>
      <c r="M114" s="13">
        <f t="shared" si="116"/>
        <v>261244.92147128424</v>
      </c>
      <c r="N114" s="13">
        <f t="shared" si="116"/>
        <v>255031.43593257247</v>
      </c>
      <c r="O114" s="13">
        <f t="shared" si="116"/>
        <v>246854.65673059924</v>
      </c>
      <c r="P114" s="13">
        <f t="shared" si="116"/>
        <v>242578.6487124674</v>
      </c>
      <c r="Q114" s="3"/>
      <c r="R114" s="3"/>
      <c r="S114" s="3"/>
    </row>
    <row r="115" spans="1:19" customFormat="1" ht="12.75" customHeight="1" x14ac:dyDescent="0.25">
      <c r="A115" s="74" t="s">
        <v>202</v>
      </c>
      <c r="B115" s="3"/>
      <c r="C115" s="3"/>
      <c r="D115" s="3"/>
      <c r="E115" s="52">
        <f t="shared" ref="E115:I115" si="117">IF(E92&gt;0,E114/E92,0)</f>
        <v>-13.295877639433996</v>
      </c>
      <c r="F115" s="52">
        <f t="shared" si="117"/>
        <v>-12.725061107594938</v>
      </c>
      <c r="G115" s="190">
        <f t="shared" si="117"/>
        <v>2.0613995543907282</v>
      </c>
      <c r="H115" s="52">
        <f t="shared" si="117"/>
        <v>4.6820750501762856</v>
      </c>
      <c r="I115" s="198">
        <f t="shared" si="117"/>
        <v>4.6316524371647256</v>
      </c>
      <c r="J115" s="198">
        <f t="shared" ref="J115:P115" si="118">IF(J92&gt;0,J114/J92,0)</f>
        <v>4.5540752700517952</v>
      </c>
      <c r="K115" s="198">
        <f t="shared" si="118"/>
        <v>4.4484833310992435</v>
      </c>
      <c r="L115" s="198">
        <f t="shared" si="118"/>
        <v>4.3139778114702478</v>
      </c>
      <c r="M115" s="198">
        <f t="shared" si="118"/>
        <v>4.2458827783855453</v>
      </c>
      <c r="N115" s="198">
        <f t="shared" si="118"/>
        <v>4.1470549121513649</v>
      </c>
      <c r="O115" s="198">
        <f t="shared" si="118"/>
        <v>4.0164928832961015</v>
      </c>
      <c r="P115" s="198">
        <f t="shared" si="118"/>
        <v>3.9495862210231794</v>
      </c>
      <c r="Q115" s="364"/>
      <c r="R115" s="3"/>
      <c r="S115" s="3"/>
    </row>
    <row r="116" spans="1:19" customFormat="1" ht="12.75" customHeight="1" x14ac:dyDescent="0.25">
      <c r="A116" s="74" t="s">
        <v>201</v>
      </c>
      <c r="B116" s="3"/>
      <c r="C116" s="3"/>
      <c r="D116" s="3"/>
      <c r="E116" s="205">
        <v>1.25</v>
      </c>
      <c r="F116" s="205">
        <f t="shared" ref="F116:I116" si="119">E116</f>
        <v>1.25</v>
      </c>
      <c r="G116" s="206">
        <f t="shared" si="119"/>
        <v>1.25</v>
      </c>
      <c r="H116" s="205">
        <f t="shared" si="119"/>
        <v>1.25</v>
      </c>
      <c r="I116" s="205">
        <f t="shared" si="119"/>
        <v>1.25</v>
      </c>
      <c r="J116" s="205">
        <f t="shared" ref="J116" si="120">I116</f>
        <v>1.25</v>
      </c>
      <c r="K116" s="205">
        <f t="shared" ref="K116" si="121">J116</f>
        <v>1.25</v>
      </c>
      <c r="L116" s="205">
        <f t="shared" ref="L116" si="122">K116</f>
        <v>1.25</v>
      </c>
      <c r="M116" s="205">
        <f t="shared" ref="M116" si="123">L116</f>
        <v>1.25</v>
      </c>
      <c r="N116" s="205">
        <f t="shared" ref="N116" si="124">M116</f>
        <v>1.25</v>
      </c>
      <c r="O116" s="205">
        <f t="shared" ref="O116" si="125">N116</f>
        <v>1.25</v>
      </c>
      <c r="P116" s="205">
        <f t="shared" ref="P116" si="126">O116</f>
        <v>1.25</v>
      </c>
      <c r="Q116" s="3"/>
      <c r="R116" s="3"/>
      <c r="S116" s="3"/>
    </row>
    <row r="117" spans="1:19" customFormat="1" ht="12.75" customHeight="1" x14ac:dyDescent="0.25">
      <c r="A117" s="74" t="s">
        <v>248</v>
      </c>
      <c r="B117" s="3"/>
      <c r="C117" s="3"/>
      <c r="D117" s="3"/>
      <c r="E117" s="52">
        <f t="shared" ref="E117:I117" si="127">E115-E116</f>
        <v>-14.545877639433996</v>
      </c>
      <c r="F117" s="52">
        <f t="shared" si="127"/>
        <v>-13.975061107594938</v>
      </c>
      <c r="G117" s="199">
        <f t="shared" si="127"/>
        <v>0.81139955439072819</v>
      </c>
      <c r="H117" s="198">
        <f t="shared" si="127"/>
        <v>3.4320750501762856</v>
      </c>
      <c r="I117" s="198">
        <f t="shared" si="127"/>
        <v>3.3816524371647256</v>
      </c>
      <c r="J117" s="198">
        <f t="shared" ref="J117:P117" si="128">J115-J116</f>
        <v>3.3040752700517952</v>
      </c>
      <c r="K117" s="198">
        <f t="shared" si="128"/>
        <v>3.1984833310992435</v>
      </c>
      <c r="L117" s="198">
        <f t="shared" si="128"/>
        <v>3.0639778114702478</v>
      </c>
      <c r="M117" s="198">
        <f t="shared" si="128"/>
        <v>2.9958827783855453</v>
      </c>
      <c r="N117" s="198">
        <f t="shared" si="128"/>
        <v>2.8970549121513649</v>
      </c>
      <c r="O117" s="198">
        <f t="shared" si="128"/>
        <v>2.7664928832961015</v>
      </c>
      <c r="P117" s="198">
        <f t="shared" si="128"/>
        <v>2.6995862210231794</v>
      </c>
      <c r="Q117" s="3"/>
      <c r="R117" s="3"/>
      <c r="S117" s="3"/>
    </row>
    <row r="118" spans="1:19" customFormat="1" ht="3.9" customHeight="1" thickBot="1" x14ac:dyDescent="0.3">
      <c r="A118" s="75"/>
      <c r="B118" s="7"/>
      <c r="C118" s="7"/>
      <c r="D118" s="7"/>
      <c r="E118" s="68"/>
      <c r="F118" s="68"/>
      <c r="G118" s="159"/>
      <c r="H118" s="68"/>
      <c r="I118" s="68"/>
      <c r="J118" s="68"/>
      <c r="K118" s="68"/>
      <c r="L118" s="68"/>
      <c r="M118" s="68"/>
      <c r="N118" s="68"/>
      <c r="O118" s="68"/>
      <c r="P118" s="68"/>
      <c r="Q118" s="3"/>
      <c r="R118" s="3"/>
      <c r="S118" s="3"/>
    </row>
    <row r="119" spans="1:19" customFormat="1" ht="12.75" customHeight="1" x14ac:dyDescent="0.25">
      <c r="A119" s="16"/>
      <c r="B119" s="3"/>
      <c r="C119" s="3"/>
      <c r="D119" s="3"/>
      <c r="E119" s="20"/>
      <c r="F119" s="20"/>
      <c r="G119" s="417"/>
      <c r="H119" s="20"/>
      <c r="I119" s="20"/>
      <c r="J119" s="20"/>
      <c r="K119" s="20"/>
      <c r="L119" s="20"/>
      <c r="M119" s="20"/>
      <c r="N119" s="20"/>
      <c r="O119" s="20"/>
      <c r="P119" s="20"/>
      <c r="Q119" s="3"/>
      <c r="R119" s="3"/>
      <c r="S119" s="3"/>
    </row>
    <row r="120" spans="1:19" customFormat="1" ht="12.75" customHeight="1" x14ac:dyDescent="0.25">
      <c r="A120" s="16"/>
      <c r="B120" s="3"/>
      <c r="C120" s="3"/>
      <c r="D120" s="3"/>
      <c r="E120" s="13"/>
      <c r="F120" s="13"/>
      <c r="G120" s="13"/>
      <c r="H120" s="13"/>
      <c r="I120" s="13"/>
      <c r="J120" s="13"/>
      <c r="K120" s="13"/>
      <c r="L120" s="13"/>
      <c r="M120" s="13"/>
      <c r="N120" s="13"/>
      <c r="O120" s="13"/>
      <c r="P120" s="13"/>
      <c r="Q120" s="3"/>
      <c r="R120" s="3"/>
      <c r="S120" s="3"/>
    </row>
    <row r="121" spans="1:19" customFormat="1" ht="12.75" customHeight="1" x14ac:dyDescent="0.25">
      <c r="A121" s="16"/>
      <c r="B121" s="3"/>
      <c r="C121" s="3"/>
      <c r="D121" s="3"/>
      <c r="E121" s="13"/>
      <c r="F121" s="13"/>
      <c r="G121" s="13"/>
      <c r="H121" s="13"/>
      <c r="I121" s="13"/>
      <c r="J121" s="13"/>
      <c r="K121" s="13"/>
      <c r="L121" s="13"/>
      <c r="M121" s="13"/>
      <c r="N121" s="13"/>
      <c r="O121" s="13"/>
      <c r="P121" s="13"/>
      <c r="Q121" s="3"/>
      <c r="R121" s="3"/>
      <c r="S121" s="3"/>
    </row>
    <row r="122" spans="1:19" customFormat="1" ht="12.75" customHeight="1" x14ac:dyDescent="0.25">
      <c r="A122" s="16"/>
      <c r="B122" s="3"/>
      <c r="C122" s="3"/>
      <c r="D122" s="3"/>
      <c r="E122" s="13"/>
      <c r="F122" s="13"/>
      <c r="G122" s="13"/>
      <c r="H122" s="13"/>
      <c r="I122" s="13"/>
      <c r="J122" s="13"/>
      <c r="K122" s="13"/>
      <c r="L122" s="13"/>
      <c r="M122" s="13"/>
      <c r="N122" s="13"/>
      <c r="O122" s="13"/>
      <c r="P122" s="13"/>
      <c r="Q122" s="3"/>
      <c r="R122" s="3"/>
      <c r="S122" s="3"/>
    </row>
    <row r="123" spans="1:19" customFormat="1" ht="12.75" customHeight="1" x14ac:dyDescent="0.25">
      <c r="A123" s="16"/>
      <c r="B123" s="3"/>
      <c r="C123" s="3"/>
      <c r="D123" s="3"/>
      <c r="E123" s="13"/>
      <c r="F123" s="13"/>
      <c r="G123" s="13"/>
      <c r="H123" s="13"/>
      <c r="I123" s="13"/>
      <c r="J123" s="13"/>
      <c r="K123" s="13"/>
      <c r="L123" s="13"/>
      <c r="M123" s="13"/>
      <c r="N123" s="13"/>
      <c r="O123" s="13"/>
      <c r="P123" s="13"/>
      <c r="Q123" s="3"/>
      <c r="R123" s="3"/>
      <c r="S123" s="3"/>
    </row>
    <row r="124" spans="1:19" customFormat="1" ht="12.75" customHeight="1" x14ac:dyDescent="0.25">
      <c r="A124" s="16"/>
      <c r="B124" s="3"/>
      <c r="C124" s="3"/>
      <c r="D124" s="3"/>
      <c r="E124" s="13"/>
      <c r="F124" s="13"/>
      <c r="G124" s="13"/>
      <c r="H124" s="13"/>
      <c r="I124" s="13"/>
      <c r="J124" s="13"/>
      <c r="K124" s="13"/>
      <c r="L124" s="13"/>
      <c r="M124" s="13"/>
      <c r="N124" s="13"/>
      <c r="O124" s="13"/>
      <c r="P124" s="13"/>
      <c r="Q124" s="3"/>
      <c r="R124" s="3"/>
      <c r="S124" s="3"/>
    </row>
    <row r="125" spans="1:19" customFormat="1" ht="12.75" customHeight="1" x14ac:dyDescent="0.25">
      <c r="A125" s="16"/>
      <c r="B125" s="3"/>
      <c r="C125" s="140"/>
      <c r="D125" s="140"/>
      <c r="E125" s="13"/>
      <c r="F125" s="13"/>
      <c r="G125" s="13"/>
      <c r="H125" s="13"/>
      <c r="I125" s="13"/>
      <c r="J125" s="13"/>
      <c r="K125" s="13"/>
      <c r="L125" s="13"/>
      <c r="M125" s="13"/>
      <c r="N125" s="13"/>
      <c r="O125" s="13"/>
      <c r="P125" s="13"/>
      <c r="Q125" s="3"/>
      <c r="R125" s="3"/>
      <c r="S125" s="3"/>
    </row>
    <row r="126" spans="1:19" customFormat="1" ht="12.75" customHeight="1" x14ac:dyDescent="0.25">
      <c r="A126" s="16"/>
      <c r="B126" s="3"/>
      <c r="C126" s="3"/>
      <c r="D126" s="3"/>
      <c r="E126" s="13"/>
      <c r="F126" s="13"/>
      <c r="G126" s="13"/>
      <c r="H126" s="13"/>
      <c r="I126" s="13"/>
      <c r="J126" s="13"/>
      <c r="K126" s="13"/>
      <c r="L126" s="13"/>
      <c r="M126" s="13"/>
      <c r="N126" s="13"/>
      <c r="O126" s="13"/>
      <c r="P126" s="13"/>
      <c r="Q126" s="3"/>
      <c r="R126" s="3"/>
      <c r="S126" s="3"/>
    </row>
    <row r="127" spans="1:19" customFormat="1" ht="12.75" customHeight="1" x14ac:dyDescent="0.25">
      <c r="A127" s="16"/>
      <c r="B127" s="3"/>
      <c r="C127" s="3"/>
      <c r="D127" s="3"/>
      <c r="E127" s="13"/>
      <c r="F127" s="13"/>
      <c r="G127" s="13"/>
      <c r="H127" s="13"/>
      <c r="I127" s="13"/>
      <c r="J127" s="13"/>
      <c r="K127" s="13"/>
      <c r="L127" s="13"/>
      <c r="M127" s="13"/>
      <c r="N127" s="13"/>
      <c r="O127" s="13"/>
      <c r="P127" s="13"/>
      <c r="Q127" s="3"/>
      <c r="R127" s="3"/>
      <c r="S127" s="3"/>
    </row>
    <row r="128" spans="1:19" customFormat="1" ht="12.75" customHeight="1" x14ac:dyDescent="0.25">
      <c r="A128" s="16"/>
      <c r="B128" s="3"/>
      <c r="C128" s="3"/>
      <c r="D128" s="3"/>
      <c r="E128" s="13"/>
      <c r="F128" s="13"/>
      <c r="G128" s="13"/>
      <c r="H128" s="13"/>
      <c r="I128" s="13"/>
      <c r="J128" s="13"/>
      <c r="K128" s="13"/>
      <c r="L128" s="13"/>
      <c r="M128" s="13"/>
      <c r="N128" s="13"/>
      <c r="O128" s="13"/>
      <c r="P128" s="13"/>
      <c r="Q128" s="3"/>
      <c r="R128" s="3"/>
      <c r="S128" s="3"/>
    </row>
    <row r="129" spans="1:19" customFormat="1" ht="12.75" customHeight="1" x14ac:dyDescent="0.25">
      <c r="A129" s="16"/>
      <c r="B129" s="3"/>
      <c r="C129" s="3"/>
      <c r="D129" s="3"/>
      <c r="E129" s="13"/>
      <c r="F129" s="13"/>
      <c r="G129" s="13"/>
      <c r="H129" s="13"/>
      <c r="I129" s="13"/>
      <c r="J129" s="13"/>
      <c r="K129" s="13"/>
      <c r="L129" s="13"/>
      <c r="M129" s="13"/>
      <c r="N129" s="13"/>
      <c r="O129" s="13"/>
      <c r="P129" s="13"/>
      <c r="Q129" s="3"/>
      <c r="R129" s="3"/>
      <c r="S129" s="3"/>
    </row>
    <row r="130" spans="1:19" customFormat="1" ht="12.75" customHeight="1" x14ac:dyDescent="0.25">
      <c r="A130" s="16"/>
      <c r="B130" s="3"/>
      <c r="C130" s="3"/>
      <c r="D130" s="3"/>
      <c r="E130" s="13"/>
      <c r="F130" s="13"/>
      <c r="G130" s="13"/>
      <c r="H130" s="13"/>
      <c r="I130" s="13"/>
      <c r="J130" s="13"/>
      <c r="K130" s="13"/>
      <c r="L130" s="13"/>
      <c r="M130" s="13"/>
      <c r="N130" s="13"/>
      <c r="O130" s="13"/>
      <c r="P130" s="13"/>
      <c r="Q130" s="3"/>
      <c r="R130" s="3"/>
      <c r="S130" s="3"/>
    </row>
    <row r="131" spans="1:19" customFormat="1" ht="12.75" customHeight="1" x14ac:dyDescent="0.25">
      <c r="A131" s="16"/>
      <c r="B131" s="3" t="s">
        <v>217</v>
      </c>
      <c r="C131" s="3"/>
      <c r="D131" s="3"/>
      <c r="E131" s="13"/>
      <c r="F131" s="13"/>
      <c r="G131" s="13"/>
      <c r="H131" s="13"/>
      <c r="I131" s="13"/>
      <c r="J131" s="13"/>
      <c r="K131" s="13"/>
      <c r="L131" s="13"/>
      <c r="M131" s="13"/>
      <c r="N131" s="13"/>
      <c r="O131" s="13"/>
      <c r="P131" s="13"/>
      <c r="Q131" s="3"/>
      <c r="R131" s="3"/>
      <c r="S131" s="3"/>
    </row>
    <row r="132" spans="1:19" customFormat="1" ht="12.75" customHeight="1" x14ac:dyDescent="0.25">
      <c r="A132" s="16"/>
      <c r="B132" s="3"/>
      <c r="C132" s="3"/>
      <c r="D132" s="3"/>
      <c r="E132" s="13"/>
      <c r="F132" s="13"/>
      <c r="G132" s="13"/>
      <c r="H132" s="13"/>
      <c r="I132" s="13"/>
      <c r="J132" s="13"/>
      <c r="K132" s="13"/>
      <c r="L132" s="13"/>
      <c r="M132" s="13"/>
      <c r="N132" s="13"/>
      <c r="O132" s="13"/>
      <c r="P132" s="13"/>
      <c r="Q132" s="3"/>
      <c r="R132" s="3"/>
      <c r="S132" s="3"/>
    </row>
    <row r="133" spans="1:19" customFormat="1" ht="12.75" customHeight="1" x14ac:dyDescent="0.25">
      <c r="A133" s="16"/>
      <c r="B133" s="3"/>
      <c r="C133" s="3"/>
      <c r="D133" s="3"/>
      <c r="E133" s="13"/>
      <c r="F133" s="65"/>
      <c r="G133" s="149"/>
      <c r="H133" s="149"/>
      <c r="I133" s="13"/>
      <c r="J133" s="13"/>
      <c r="K133" s="13"/>
      <c r="L133" s="13"/>
      <c r="M133" s="13"/>
      <c r="N133" s="13"/>
      <c r="O133" s="13"/>
      <c r="P133" s="13"/>
      <c r="Q133" s="3"/>
      <c r="R133" s="3"/>
      <c r="S133" s="3"/>
    </row>
    <row r="134" spans="1:19" customFormat="1" ht="12.75" customHeight="1" x14ac:dyDescent="0.25">
      <c r="A134" s="16"/>
      <c r="B134" s="3"/>
      <c r="C134" s="3"/>
      <c r="D134" s="3"/>
      <c r="E134" s="13"/>
      <c r="F134" s="204"/>
      <c r="G134" s="10"/>
      <c r="H134" s="10"/>
      <c r="I134" s="13"/>
      <c r="J134" s="13"/>
      <c r="K134" s="13"/>
      <c r="L134" s="13"/>
      <c r="M134" s="13"/>
      <c r="N134" s="13"/>
      <c r="O134" s="13"/>
      <c r="P134" s="13"/>
      <c r="Q134" s="3"/>
      <c r="R134" s="3"/>
      <c r="S134" s="3"/>
    </row>
    <row r="135" spans="1:19" customFormat="1" ht="12.75" customHeight="1" x14ac:dyDescent="0.25">
      <c r="A135" s="16"/>
      <c r="B135" s="3"/>
      <c r="C135" s="3"/>
      <c r="D135" s="3"/>
      <c r="E135" s="13"/>
      <c r="F135" s="204"/>
      <c r="G135" s="10"/>
      <c r="H135" s="10"/>
      <c r="I135" s="13"/>
      <c r="J135" s="13"/>
      <c r="K135" s="13"/>
      <c r="L135" s="13"/>
      <c r="M135" s="13"/>
      <c r="N135" s="13"/>
      <c r="O135" s="13"/>
      <c r="P135" s="13"/>
      <c r="Q135" s="3"/>
      <c r="R135" s="3"/>
      <c r="S135" s="3"/>
    </row>
    <row r="136" spans="1:19" customFormat="1" ht="12.75" customHeight="1" x14ac:dyDescent="0.25">
      <c r="A136" s="16"/>
      <c r="B136" s="3"/>
      <c r="C136" s="3"/>
      <c r="D136" s="3"/>
      <c r="E136" s="13"/>
      <c r="F136" s="204"/>
      <c r="G136" s="10"/>
      <c r="H136" s="10"/>
      <c r="I136" s="13"/>
      <c r="J136" s="13"/>
      <c r="K136" s="13"/>
      <c r="L136" s="13"/>
      <c r="M136" s="13"/>
      <c r="N136" s="13"/>
      <c r="O136" s="13"/>
      <c r="P136" s="13"/>
      <c r="Q136" s="3"/>
      <c r="R136" s="3"/>
      <c r="S136" s="3"/>
    </row>
    <row r="137" spans="1:19" customFormat="1" ht="12.75" customHeight="1" x14ac:dyDescent="0.25">
      <c r="A137" s="16"/>
      <c r="B137" s="3"/>
      <c r="C137" s="3"/>
      <c r="D137" s="3"/>
      <c r="E137" s="13"/>
      <c r="F137" s="204"/>
      <c r="G137" s="10"/>
      <c r="H137" s="10"/>
      <c r="I137" s="13"/>
      <c r="J137" s="13"/>
      <c r="K137" s="13"/>
      <c r="L137" s="13"/>
      <c r="M137" s="13"/>
      <c r="N137" s="13"/>
      <c r="O137" s="13"/>
      <c r="P137" s="13"/>
      <c r="Q137" s="3"/>
      <c r="R137" s="3"/>
      <c r="S137" s="3"/>
    </row>
    <row r="138" spans="1:19" customFormat="1" ht="12.75" customHeight="1" x14ac:dyDescent="0.25">
      <c r="A138" s="16"/>
      <c r="B138" s="3"/>
      <c r="C138" s="3"/>
      <c r="D138" s="3"/>
      <c r="E138" s="13"/>
      <c r="F138" s="204"/>
      <c r="G138" s="10"/>
      <c r="H138" s="10"/>
      <c r="I138" s="13"/>
      <c r="J138" s="13"/>
      <c r="K138" s="13"/>
      <c r="L138" s="13"/>
      <c r="M138" s="13"/>
      <c r="N138" s="13"/>
      <c r="O138" s="13"/>
      <c r="P138" s="13"/>
      <c r="Q138" s="3"/>
      <c r="R138" s="3"/>
      <c r="S138" s="3"/>
    </row>
    <row r="139" spans="1:19" customFormat="1" ht="12.75" customHeight="1" x14ac:dyDescent="0.25">
      <c r="A139" s="16"/>
      <c r="B139" s="3"/>
      <c r="C139" s="3"/>
      <c r="D139" s="3"/>
      <c r="E139" s="13"/>
      <c r="F139" s="204"/>
      <c r="G139" s="10"/>
      <c r="H139" s="10"/>
      <c r="I139" s="13"/>
      <c r="J139" s="13"/>
      <c r="K139" s="13"/>
      <c r="L139" s="13"/>
      <c r="M139" s="13"/>
      <c r="N139" s="13"/>
      <c r="O139" s="13"/>
      <c r="P139" s="13"/>
      <c r="Q139" s="3"/>
      <c r="R139" s="3"/>
      <c r="S139" s="3"/>
    </row>
    <row r="140" spans="1:19" customFormat="1" ht="12.75" customHeight="1" x14ac:dyDescent="0.25">
      <c r="A140" s="16"/>
      <c r="B140" s="3"/>
      <c r="C140" s="3"/>
      <c r="D140" s="3"/>
      <c r="E140" s="13"/>
      <c r="F140" s="204"/>
      <c r="G140" s="10"/>
      <c r="H140" s="10"/>
      <c r="I140" s="13"/>
      <c r="J140" s="13"/>
      <c r="K140" s="13"/>
      <c r="L140" s="13"/>
      <c r="M140" s="13"/>
      <c r="N140" s="13"/>
      <c r="O140" s="13"/>
      <c r="P140" s="13"/>
      <c r="Q140" s="3"/>
      <c r="R140" s="3"/>
      <c r="S140" s="3"/>
    </row>
    <row r="141" spans="1:19" customFormat="1" ht="12.75" customHeight="1" x14ac:dyDescent="0.25">
      <c r="A141" s="16"/>
      <c r="B141" s="3"/>
      <c r="C141" s="3"/>
      <c r="D141" s="3"/>
      <c r="E141" s="13"/>
      <c r="F141" s="204"/>
      <c r="G141" s="10"/>
      <c r="H141" s="10"/>
      <c r="I141" s="13"/>
      <c r="J141" s="13"/>
      <c r="K141" s="13"/>
      <c r="L141" s="13"/>
      <c r="M141" s="13"/>
      <c r="N141" s="13"/>
      <c r="O141" s="13"/>
      <c r="P141" s="13"/>
      <c r="Q141" s="3"/>
      <c r="R141" s="3"/>
      <c r="S141" s="3"/>
    </row>
    <row r="142" spans="1:19" customFormat="1" ht="12.75" customHeight="1" x14ac:dyDescent="0.25">
      <c r="A142" s="16"/>
      <c r="B142" s="3"/>
      <c r="C142" s="3"/>
      <c r="D142" s="3"/>
      <c r="E142" s="13"/>
      <c r="F142" s="204"/>
      <c r="G142" s="10"/>
      <c r="H142" s="10"/>
      <c r="I142" s="13"/>
      <c r="J142" s="13"/>
      <c r="K142" s="13"/>
      <c r="L142" s="13"/>
      <c r="M142" s="13"/>
      <c r="N142" s="13"/>
      <c r="O142" s="13"/>
      <c r="P142" s="13"/>
      <c r="Q142" s="3"/>
      <c r="R142" s="3"/>
      <c r="S142" s="3"/>
    </row>
    <row r="143" spans="1:19" customFormat="1" ht="12.75" customHeight="1" x14ac:dyDescent="0.25">
      <c r="A143" s="16"/>
      <c r="B143" s="3"/>
      <c r="C143" s="3"/>
      <c r="D143" s="3"/>
      <c r="E143" s="13"/>
      <c r="F143" s="204"/>
      <c r="G143" s="10"/>
      <c r="H143" s="10"/>
      <c r="I143" s="13"/>
      <c r="J143" s="13"/>
      <c r="K143" s="13"/>
      <c r="L143" s="13"/>
      <c r="M143" s="13"/>
      <c r="N143" s="13"/>
      <c r="O143" s="13"/>
      <c r="P143" s="13"/>
      <c r="Q143" s="3"/>
      <c r="R143" s="3"/>
      <c r="S143" s="3"/>
    </row>
    <row r="144" spans="1:19" customFormat="1" ht="12.75" customHeight="1" x14ac:dyDescent="0.25">
      <c r="A144" s="16"/>
      <c r="B144" s="3"/>
      <c r="C144" s="3"/>
      <c r="D144" s="3"/>
      <c r="E144" s="13"/>
      <c r="F144" s="204"/>
      <c r="G144" s="10"/>
      <c r="H144" s="10"/>
      <c r="I144" s="13"/>
      <c r="J144" s="13"/>
      <c r="K144" s="13"/>
      <c r="L144" s="13"/>
      <c r="M144" s="13"/>
      <c r="N144" s="13"/>
      <c r="O144" s="13"/>
      <c r="P144" s="13"/>
      <c r="Q144" s="3"/>
      <c r="R144" s="3"/>
      <c r="S144" s="3"/>
    </row>
    <row r="145" spans="1:25" customFormat="1" ht="12.75" customHeight="1" x14ac:dyDescent="0.25">
      <c r="A145" s="16"/>
      <c r="B145" s="3"/>
      <c r="C145" s="3"/>
      <c r="D145" s="3"/>
      <c r="E145" s="13"/>
      <c r="F145" s="204"/>
      <c r="G145" s="10"/>
      <c r="H145" s="10"/>
      <c r="I145" s="13"/>
      <c r="J145" s="13"/>
      <c r="K145" s="13"/>
      <c r="L145" s="13"/>
      <c r="M145" s="13"/>
      <c r="N145" s="13"/>
      <c r="O145" s="13"/>
      <c r="P145" s="13"/>
      <c r="Q145" s="3"/>
      <c r="R145" s="3"/>
      <c r="S145" s="3"/>
    </row>
    <row r="146" spans="1:25" customFormat="1" ht="12.75" customHeight="1" x14ac:dyDescent="0.25">
      <c r="A146" s="77" t="s">
        <v>150</v>
      </c>
      <c r="B146" s="3"/>
      <c r="C146" s="6"/>
      <c r="D146" s="6"/>
      <c r="E146" s="3"/>
      <c r="F146" s="13"/>
      <c r="G146" s="13"/>
      <c r="H146" s="13"/>
      <c r="I146" s="4"/>
      <c r="J146" s="4"/>
      <c r="K146" s="4"/>
      <c r="L146" s="4"/>
      <c r="M146" s="4"/>
      <c r="N146" s="4"/>
      <c r="Q146" s="3"/>
      <c r="R146" s="3"/>
      <c r="S146" s="3"/>
    </row>
    <row r="147" spans="1:25" customFormat="1" ht="12.75" customHeight="1" x14ac:dyDescent="0.25">
      <c r="A147" s="77" t="s">
        <v>56</v>
      </c>
      <c r="B147" s="3"/>
      <c r="C147" s="6"/>
      <c r="D147" s="6"/>
      <c r="E147" s="3"/>
      <c r="F147" s="13"/>
      <c r="G147" s="13"/>
      <c r="H147" s="13"/>
      <c r="I147" s="4"/>
      <c r="J147" s="4"/>
      <c r="K147" s="4"/>
      <c r="L147" s="4"/>
      <c r="M147" s="4"/>
      <c r="N147" s="4"/>
      <c r="O147" s="4"/>
      <c r="P147" s="4"/>
      <c r="Q147" s="4"/>
      <c r="R147" s="3"/>
      <c r="S147" s="3"/>
    </row>
    <row r="148" spans="1:25" customFormat="1" ht="12.75" customHeight="1" x14ac:dyDescent="0.25">
      <c r="A148" s="363" t="s">
        <v>60</v>
      </c>
      <c r="B148" s="3"/>
      <c r="C148" s="6"/>
      <c r="D148" s="6"/>
      <c r="E148" s="3"/>
      <c r="F148" s="13"/>
      <c r="G148" s="13"/>
      <c r="H148" s="13"/>
      <c r="I148" s="4"/>
      <c r="J148" s="4"/>
      <c r="K148" s="4"/>
      <c r="L148" s="4"/>
      <c r="M148" s="4"/>
      <c r="N148" s="4"/>
      <c r="O148" s="4"/>
      <c r="P148" s="4"/>
      <c r="Q148" s="4"/>
      <c r="R148" s="3"/>
      <c r="S148" s="3"/>
    </row>
    <row r="149" spans="1:25" customFormat="1" ht="12.75" customHeight="1" thickBot="1" x14ac:dyDescent="0.3">
      <c r="A149" s="78" t="s">
        <v>428</v>
      </c>
      <c r="B149" s="7"/>
      <c r="C149" s="8"/>
      <c r="D149" s="8"/>
      <c r="E149" s="7"/>
      <c r="F149" s="7"/>
      <c r="G149" s="7"/>
      <c r="H149" s="7"/>
      <c r="I149" s="7"/>
      <c r="J149" s="7"/>
      <c r="K149" s="7"/>
      <c r="L149" s="7"/>
      <c r="M149" s="7"/>
      <c r="N149" s="7"/>
      <c r="O149" s="7"/>
      <c r="P149" s="7"/>
      <c r="Q149" s="3"/>
      <c r="R149" s="3"/>
      <c r="S149" s="3"/>
    </row>
    <row r="150" spans="1:25" customFormat="1" ht="12.75" customHeight="1" x14ac:dyDescent="0.25">
      <c r="A150" s="645" t="s">
        <v>215</v>
      </c>
      <c r="B150" s="645"/>
      <c r="C150" s="645"/>
      <c r="D150" s="214"/>
      <c r="E150" s="215">
        <f>E5</f>
        <v>2023</v>
      </c>
      <c r="F150" s="215">
        <f t="shared" ref="F150:I150" si="129">E150+1</f>
        <v>2024</v>
      </c>
      <c r="G150" s="216">
        <f t="shared" si="129"/>
        <v>2025</v>
      </c>
      <c r="H150" s="215">
        <f t="shared" si="129"/>
        <v>2026</v>
      </c>
      <c r="I150" s="215">
        <f t="shared" si="129"/>
        <v>2027</v>
      </c>
      <c r="J150" s="215">
        <f t="shared" ref="J150" si="130">I150+1</f>
        <v>2028</v>
      </c>
      <c r="K150" s="215">
        <f t="shared" ref="K150" si="131">J150+1</f>
        <v>2029</v>
      </c>
      <c r="L150" s="215">
        <f t="shared" ref="L150" si="132">K150+1</f>
        <v>2030</v>
      </c>
      <c r="M150" s="215">
        <f t="shared" ref="M150" si="133">L150+1</f>
        <v>2031</v>
      </c>
      <c r="N150" s="215">
        <f t="shared" ref="N150" si="134">M150+1</f>
        <v>2032</v>
      </c>
      <c r="O150" s="215">
        <f t="shared" ref="O150" si="135">N150+1</f>
        <v>2033</v>
      </c>
      <c r="P150" s="215">
        <f t="shared" ref="P150" si="136">O150+1</f>
        <v>2034</v>
      </c>
      <c r="Q150" s="3"/>
      <c r="R150" s="3"/>
      <c r="S150" s="3"/>
    </row>
    <row r="151" spans="1:25" customFormat="1" ht="3.9" customHeight="1" x14ac:dyDescent="0.25">
      <c r="A151" s="16"/>
      <c r="B151" s="3"/>
      <c r="C151" s="3"/>
      <c r="D151" s="3"/>
      <c r="E151" s="13"/>
      <c r="F151" s="13"/>
      <c r="G151" s="153"/>
      <c r="H151" s="13"/>
      <c r="I151" s="13"/>
      <c r="J151" s="13"/>
      <c r="K151" s="13"/>
      <c r="L151" s="13"/>
      <c r="M151" s="13"/>
      <c r="N151" s="13"/>
      <c r="O151" s="13"/>
      <c r="P151" s="13"/>
      <c r="Q151" s="3"/>
      <c r="R151" s="3"/>
      <c r="S151" s="3"/>
    </row>
    <row r="152" spans="1:25" customFormat="1" ht="12.75" customHeight="1" x14ac:dyDescent="0.25">
      <c r="A152" s="72" t="s">
        <v>226</v>
      </c>
      <c r="B152" s="3"/>
      <c r="C152" s="3"/>
      <c r="D152" s="3"/>
      <c r="E152" s="20"/>
      <c r="F152" s="20"/>
      <c r="G152" s="160">
        <f t="shared" ref="G152:I152" si="137">F175</f>
        <v>342012</v>
      </c>
      <c r="H152" s="13">
        <f t="shared" si="137"/>
        <v>1352280.454382</v>
      </c>
      <c r="I152" s="13">
        <f t="shared" si="137"/>
        <v>1875791.1648673327</v>
      </c>
      <c r="J152" s="13">
        <f t="shared" ref="J152" si="138">I175</f>
        <v>3318933.8879406857</v>
      </c>
      <c r="K152" s="13">
        <f t="shared" ref="K152" si="139">J175</f>
        <v>4329303.7075020578</v>
      </c>
      <c r="L152" s="13">
        <f t="shared" ref="L152" si="140">K175</f>
        <v>5904627.6773804305</v>
      </c>
      <c r="M152" s="13">
        <f t="shared" ref="M152" si="141">L175</f>
        <v>7392354.4220853131</v>
      </c>
      <c r="N152" s="13">
        <f t="shared" ref="N152" si="142">M175</f>
        <v>8789856.0248614997</v>
      </c>
      <c r="O152" s="13">
        <f t="shared" ref="O152" si="143">N175</f>
        <v>10094425.731451131</v>
      </c>
      <c r="P152" s="13">
        <f t="shared" ref="P152" si="144">O175</f>
        <v>11303275.584968612</v>
      </c>
      <c r="Q152" s="3"/>
      <c r="R152" s="3"/>
      <c r="S152" s="3"/>
    </row>
    <row r="153" spans="1:25" customFormat="1" ht="3.9" customHeight="1" x14ac:dyDescent="0.25">
      <c r="A153" s="16"/>
      <c r="B153" s="3"/>
      <c r="C153" s="3"/>
      <c r="D153" s="3"/>
      <c r="E153" s="13"/>
      <c r="F153" s="13"/>
      <c r="G153" s="153"/>
      <c r="H153" s="13"/>
      <c r="I153" s="13"/>
      <c r="J153" s="13"/>
      <c r="K153" s="13"/>
      <c r="L153" s="13"/>
      <c r="M153" s="13"/>
      <c r="N153" s="13"/>
      <c r="O153" s="13"/>
      <c r="P153" s="13"/>
      <c r="Q153" s="3"/>
      <c r="R153" s="3"/>
      <c r="S153" s="3"/>
    </row>
    <row r="154" spans="1:25" customFormat="1" ht="12.75" customHeight="1" x14ac:dyDescent="0.25">
      <c r="A154" s="72" t="s">
        <v>227</v>
      </c>
      <c r="B154" s="3"/>
      <c r="C154" s="3"/>
      <c r="D154" s="3"/>
      <c r="E154" s="13"/>
      <c r="F154" s="13"/>
      <c r="G154" s="153"/>
      <c r="H154" s="13"/>
      <c r="I154" s="13"/>
      <c r="J154" s="13"/>
      <c r="K154" s="13"/>
      <c r="L154" s="13"/>
      <c r="M154" s="13"/>
      <c r="N154" s="13"/>
      <c r="O154" s="13"/>
      <c r="P154" s="13"/>
      <c r="Q154" s="3"/>
      <c r="R154" s="3"/>
      <c r="S154" s="3"/>
    </row>
    <row r="155" spans="1:25" customFormat="1" ht="12.75" customHeight="1" x14ac:dyDescent="0.25">
      <c r="A155" s="16"/>
      <c r="B155" s="3" t="s">
        <v>235</v>
      </c>
      <c r="C155" s="3"/>
      <c r="D155" s="3"/>
      <c r="E155" s="13">
        <f>'WW-Rev'!E41-(SUM('WW-Rev'!E35:E39))</f>
        <v>2919170.2058000001</v>
      </c>
      <c r="F155" s="13">
        <f>'WW-Rev'!F41-(SUM('WW-Rev'!F35:F39))</f>
        <v>2911870.4429999995</v>
      </c>
      <c r="G155" s="153">
        <f>'WW-Rev'!G41-(SUM('WW-Rev'!G35:G39))</f>
        <v>3678131.0759000001</v>
      </c>
      <c r="H155" s="13">
        <f>'WW-Rev'!H41-(SUM('WW-Rev'!H35:H39))</f>
        <v>4694202.3320033327</v>
      </c>
      <c r="I155" s="13">
        <f>'WW-Rev'!I41-(SUM('WW-Rev'!I35:I39))</f>
        <v>4694202.3320033327</v>
      </c>
      <c r="J155" s="13">
        <f>'WW-Rev'!J41-(SUM('WW-Rev'!J35:J39))</f>
        <v>4694202.3320033327</v>
      </c>
      <c r="K155" s="13">
        <f>'WW-Rev'!K41-(SUM('WW-Rev'!K35:K39))</f>
        <v>4694202.3320033327</v>
      </c>
      <c r="L155" s="13">
        <f>'WW-Rev'!L41-(SUM('WW-Rev'!L35:L39))</f>
        <v>4694202.3320033327</v>
      </c>
      <c r="M155" s="13">
        <f>'WW-Rev'!M41-(SUM('WW-Rev'!M35:M39))</f>
        <v>4694202.3320033327</v>
      </c>
      <c r="N155" s="13">
        <f>'WW-Rev'!N41-(SUM('WW-Rev'!N35:N39))</f>
        <v>4694202.3320033327</v>
      </c>
      <c r="O155" s="13">
        <f>'WW-Rev'!O41-(SUM('WW-Rev'!O35:O39))</f>
        <v>4694202.3320033327</v>
      </c>
      <c r="P155" s="13">
        <f>'WW-Rev'!P41-(SUM('WW-Rev'!P35:P39))</f>
        <v>4694202.3320033327</v>
      </c>
      <c r="Q155" s="3"/>
      <c r="R155" s="3"/>
      <c r="S155" s="3"/>
    </row>
    <row r="156" spans="1:25" customFormat="1" ht="12.75" customHeight="1" x14ac:dyDescent="0.25">
      <c r="A156" s="16"/>
      <c r="B156" s="22" t="s">
        <v>236</v>
      </c>
      <c r="C156" s="22"/>
      <c r="D156" s="22"/>
      <c r="E156" s="30">
        <f>SUM('WW-Rev'!E35:E39)</f>
        <v>57679.98</v>
      </c>
      <c r="F156" s="30">
        <f>SUM('WW-Rev'!F35:F39)</f>
        <v>61620</v>
      </c>
      <c r="G156" s="154">
        <f>SUM('WW-Rev'!G35:G39)</f>
        <v>61621.25</v>
      </c>
      <c r="H156" s="30">
        <f>SUM('WW-Rev'!H35:H39)</f>
        <v>61617.75</v>
      </c>
      <c r="I156" s="30">
        <f>SUM('WW-Rev'!I35:I39)</f>
        <v>61609.5</v>
      </c>
      <c r="J156" s="30">
        <f>SUM('WW-Rev'!J35:J39)</f>
        <v>61596.5</v>
      </c>
      <c r="K156" s="30">
        <f>SUM('WW-Rev'!K35:K39)</f>
        <v>61578.75</v>
      </c>
      <c r="L156" s="30">
        <f>SUM('WW-Rev'!L35:L39)</f>
        <v>61556.25</v>
      </c>
      <c r="M156" s="30">
        <f>SUM('WW-Rev'!M35:M39)</f>
        <v>61529</v>
      </c>
      <c r="N156" s="30">
        <f>SUM('WW-Rev'!N35:N39)</f>
        <v>61497</v>
      </c>
      <c r="O156" s="30">
        <f>SUM('WW-Rev'!O35:O39)</f>
        <v>61460.25</v>
      </c>
      <c r="P156" s="30">
        <f>SUM('WW-Rev'!P35:P39)</f>
        <v>61418.75</v>
      </c>
      <c r="Q156" s="3"/>
      <c r="R156" s="3"/>
      <c r="S156" s="3"/>
    </row>
    <row r="157" spans="1:25" customFormat="1" ht="12.75" customHeight="1" x14ac:dyDescent="0.25">
      <c r="A157" s="16"/>
      <c r="B157" s="3" t="s">
        <v>220</v>
      </c>
      <c r="C157" s="3"/>
      <c r="D157" s="3"/>
      <c r="E157" s="13">
        <f t="shared" ref="E157:I157" si="145">SUM(E155:E156)</f>
        <v>2976850.1858000001</v>
      </c>
      <c r="F157" s="13">
        <f t="shared" si="145"/>
        <v>2973490.4429999995</v>
      </c>
      <c r="G157" s="153">
        <f t="shared" si="145"/>
        <v>3739752.3259000001</v>
      </c>
      <c r="H157" s="13">
        <f t="shared" si="145"/>
        <v>4755820.0820033327</v>
      </c>
      <c r="I157" s="13">
        <f t="shared" si="145"/>
        <v>4755811.8320033327</v>
      </c>
      <c r="J157" s="13">
        <f t="shared" ref="J157:P157" si="146">SUM(J155:J156)</f>
        <v>4755798.8320033327</v>
      </c>
      <c r="K157" s="13">
        <f t="shared" si="146"/>
        <v>4755781.0820033327</v>
      </c>
      <c r="L157" s="13">
        <f t="shared" si="146"/>
        <v>4755758.5820033327</v>
      </c>
      <c r="M157" s="13">
        <f t="shared" si="146"/>
        <v>4755731.3320033327</v>
      </c>
      <c r="N157" s="13">
        <f t="shared" si="146"/>
        <v>4755699.3320033327</v>
      </c>
      <c r="O157" s="13">
        <f t="shared" si="146"/>
        <v>4755662.5820033327</v>
      </c>
      <c r="P157" s="13">
        <f t="shared" si="146"/>
        <v>4755621.0820033327</v>
      </c>
      <c r="Q157" s="3"/>
      <c r="R157" s="3"/>
      <c r="S157" s="3"/>
    </row>
    <row r="158" spans="1:25" customFormat="1" ht="3.9" customHeight="1" x14ac:dyDescent="0.25">
      <c r="G158" s="209"/>
    </row>
    <row r="159" spans="1:25" customFormat="1" ht="12.75" customHeight="1" x14ac:dyDescent="0.25">
      <c r="A159" s="72" t="s">
        <v>228</v>
      </c>
      <c r="B159" s="3"/>
      <c r="C159" s="3"/>
      <c r="D159" s="3"/>
      <c r="E159" s="13"/>
      <c r="F159" s="13"/>
      <c r="G159" s="153"/>
      <c r="H159" s="13"/>
      <c r="I159" s="13"/>
      <c r="J159" s="13"/>
      <c r="K159" s="13"/>
      <c r="L159" s="13"/>
      <c r="M159" s="13"/>
      <c r="N159" s="13"/>
      <c r="O159" s="13"/>
      <c r="P159" s="13"/>
      <c r="Q159" s="3"/>
      <c r="R159" s="3"/>
      <c r="S159" s="3"/>
    </row>
    <row r="160" spans="1:25" ht="12.75" customHeight="1" x14ac:dyDescent="0.25">
      <c r="B160" s="3" t="s">
        <v>222</v>
      </c>
      <c r="D160" s="13"/>
      <c r="E160" s="13">
        <f>Exp!E117-Exp!E111-Exp!E114-Exp!E115-Exp!E116</f>
        <v>2314933</v>
      </c>
      <c r="F160" s="13">
        <f>Exp!F117-Exp!F111-Exp!F114-Exp!F115-Exp!F116</f>
        <v>2343210</v>
      </c>
      <c r="G160" s="153">
        <f>Exp!G117-Exp!G111-Exp!G114-Exp!G115-Exp!G116</f>
        <v>2594300</v>
      </c>
      <c r="H160" s="13">
        <f>Exp!H117-Exp!H111-Exp!H114-Exp!H115-Exp!H116</f>
        <v>2672129</v>
      </c>
      <c r="I160" s="13">
        <f>Exp!I117-Exp!I111-Exp!I114-Exp!I115-Exp!I116</f>
        <v>2752292.8699999996</v>
      </c>
      <c r="J160" s="13">
        <f>Exp!J117-Exp!J111-Exp!J114-Exp!J115-Exp!J116</f>
        <v>2834861.6561000003</v>
      </c>
      <c r="K160" s="13">
        <f>Exp!K117-Exp!K111-Exp!K114-Exp!K115-Exp!K116</f>
        <v>2919907.505783</v>
      </c>
      <c r="L160" s="13">
        <f>Exp!L117-Exp!L111-Exp!L114-Exp!L115-Exp!L116</f>
        <v>3007504.7309564902</v>
      </c>
      <c r="M160" s="13">
        <f>Exp!M117-Exp!M111-Exp!M114-Exp!M115-Exp!M116</f>
        <v>3097729.8728851853</v>
      </c>
      <c r="N160" s="13">
        <f>Exp!N117-Exp!N111-Exp!N114-Exp!N115-Exp!N116</f>
        <v>3190661.769071741</v>
      </c>
      <c r="O160" s="13">
        <f>Exp!O117-Exp!O111-Exp!O114-Exp!O115-Exp!O116</f>
        <v>3286381.622143893</v>
      </c>
      <c r="P160" s="13">
        <f>Exp!P117-Exp!P111-Exp!P114-Exp!P115-Exp!P116</f>
        <v>3384973.0708082099</v>
      </c>
      <c r="Q160"/>
      <c r="R160"/>
      <c r="S160"/>
      <c r="U160"/>
      <c r="Y160"/>
    </row>
    <row r="161" spans="1:25" ht="12.75" customHeight="1" x14ac:dyDescent="0.25">
      <c r="B161" s="3" t="s">
        <v>71</v>
      </c>
      <c r="D161" s="13"/>
      <c r="E161" s="13">
        <f>Exp!E111</f>
        <v>0</v>
      </c>
      <c r="F161" s="13">
        <f>Exp!F111</f>
        <v>0</v>
      </c>
      <c r="G161" s="153">
        <f>Exp!G111</f>
        <v>0</v>
      </c>
      <c r="H161" s="13">
        <f>Exp!H111</f>
        <v>0</v>
      </c>
      <c r="I161" s="13">
        <f>Exp!I111</f>
        <v>0</v>
      </c>
      <c r="J161" s="13">
        <f>Exp!J111</f>
        <v>0</v>
      </c>
      <c r="K161" s="13">
        <f>Exp!K111</f>
        <v>0</v>
      </c>
      <c r="L161" s="13">
        <f>Exp!L111</f>
        <v>0</v>
      </c>
      <c r="M161" s="13">
        <f>Exp!M111</f>
        <v>0</v>
      </c>
      <c r="N161" s="13">
        <f>Exp!N111</f>
        <v>0</v>
      </c>
      <c r="O161" s="13">
        <f>Exp!O111</f>
        <v>0</v>
      </c>
      <c r="P161" s="13">
        <f>Exp!P111</f>
        <v>0</v>
      </c>
      <c r="Q161"/>
      <c r="R161"/>
      <c r="S161"/>
      <c r="U161"/>
      <c r="Y161"/>
    </row>
    <row r="162" spans="1:25" ht="12.75" customHeight="1" x14ac:dyDescent="0.25">
      <c r="B162" s="3" t="s">
        <v>50</v>
      </c>
      <c r="D162" s="13"/>
      <c r="E162" s="13"/>
      <c r="F162" s="13"/>
      <c r="G162" s="153"/>
      <c r="M162" s="13"/>
      <c r="N162" s="13"/>
      <c r="O162" s="13"/>
      <c r="P162" s="13"/>
      <c r="Q162"/>
      <c r="R162"/>
      <c r="S162"/>
      <c r="U162"/>
      <c r="Y162"/>
    </row>
    <row r="163" spans="1:25" ht="12.75" customHeight="1" x14ac:dyDescent="0.25">
      <c r="B163" s="3" t="s">
        <v>51</v>
      </c>
      <c r="D163" s="13"/>
      <c r="E163" s="20">
        <f>Debt!E176</f>
        <v>57679.98</v>
      </c>
      <c r="F163" s="20">
        <f>Debt!F176</f>
        <v>61620</v>
      </c>
      <c r="G163" s="160">
        <f>Debt!G176</f>
        <v>61621.25</v>
      </c>
      <c r="H163" s="20">
        <f>Debt!H176</f>
        <v>61617.75</v>
      </c>
      <c r="I163" s="20">
        <f>Debt!I176</f>
        <v>61609.5</v>
      </c>
      <c r="J163" s="20">
        <f>Debt!J176</f>
        <v>61596.5</v>
      </c>
      <c r="K163" s="20">
        <f>Debt!K176</f>
        <v>61578.75</v>
      </c>
      <c r="L163" s="20">
        <f>Debt!L176</f>
        <v>61556.25</v>
      </c>
      <c r="M163" s="20">
        <f>Debt!M176</f>
        <v>61529</v>
      </c>
      <c r="N163" s="20">
        <f>Debt!N176</f>
        <v>61497</v>
      </c>
      <c r="O163" s="20">
        <f>Debt!O176</f>
        <v>61460.25</v>
      </c>
      <c r="P163" s="20">
        <f>Debt!P176</f>
        <v>61418.75</v>
      </c>
      <c r="Q163"/>
      <c r="R163"/>
      <c r="S163"/>
      <c r="U163"/>
      <c r="Y163"/>
    </row>
    <row r="164" spans="1:25" ht="12.75" customHeight="1" x14ac:dyDescent="0.25">
      <c r="B164" s="22" t="s">
        <v>52</v>
      </c>
      <c r="C164" s="22"/>
      <c r="D164" s="30"/>
      <c r="E164" s="30">
        <f>Debt!E193</f>
        <v>0</v>
      </c>
      <c r="F164" s="30">
        <f>Debt!F193</f>
        <v>0</v>
      </c>
      <c r="G164" s="154">
        <f>Debt!G193</f>
        <v>0</v>
      </c>
      <c r="H164" s="30">
        <f>Debt!H193</f>
        <v>0</v>
      </c>
      <c r="I164" s="30">
        <f>Debt!I193</f>
        <v>50204.117411980013</v>
      </c>
      <c r="J164" s="30">
        <f>Debt!J193</f>
        <v>100408.23482396003</v>
      </c>
      <c r="K164" s="30">
        <f>Debt!K193</f>
        <v>100408.23482396003</v>
      </c>
      <c r="L164" s="30">
        <f>Debt!L193</f>
        <v>100408.23482396003</v>
      </c>
      <c r="M164" s="30">
        <f>Debt!M193</f>
        <v>100408.23482396003</v>
      </c>
      <c r="N164" s="30">
        <f>Debt!N193</f>
        <v>100408.23482396003</v>
      </c>
      <c r="O164" s="30">
        <f>Debt!O193</f>
        <v>100408.23482396003</v>
      </c>
      <c r="P164" s="30">
        <f>Debt!P193</f>
        <v>100408.23482396003</v>
      </c>
      <c r="Q164"/>
      <c r="R164"/>
      <c r="S164"/>
      <c r="U164"/>
      <c r="Y164"/>
    </row>
    <row r="165" spans="1:25" ht="12.75" customHeight="1" x14ac:dyDescent="0.25">
      <c r="B165" s="3" t="s">
        <v>53</v>
      </c>
      <c r="D165" s="13"/>
      <c r="E165" s="13">
        <f t="shared" ref="E165:I165" si="147">SUM(E163:E164)</f>
        <v>57679.98</v>
      </c>
      <c r="F165" s="13">
        <f t="shared" si="147"/>
        <v>61620</v>
      </c>
      <c r="G165" s="153">
        <f t="shared" si="147"/>
        <v>61621.25</v>
      </c>
      <c r="H165" s="13">
        <f t="shared" si="147"/>
        <v>61617.75</v>
      </c>
      <c r="I165" s="13">
        <f t="shared" si="147"/>
        <v>111813.61741198001</v>
      </c>
      <c r="J165" s="13">
        <f t="shared" ref="J165:P165" si="148">SUM(J163:J164)</f>
        <v>162004.73482396003</v>
      </c>
      <c r="K165" s="13">
        <f t="shared" si="148"/>
        <v>161986.98482396003</v>
      </c>
      <c r="L165" s="13">
        <f t="shared" si="148"/>
        <v>161964.48482396003</v>
      </c>
      <c r="M165" s="13">
        <f t="shared" si="148"/>
        <v>161937.23482396003</v>
      </c>
      <c r="N165" s="13">
        <f t="shared" si="148"/>
        <v>161905.23482396003</v>
      </c>
      <c r="O165" s="13">
        <f t="shared" si="148"/>
        <v>161868.48482396003</v>
      </c>
      <c r="P165" s="13">
        <f t="shared" si="148"/>
        <v>161826.98482396003</v>
      </c>
      <c r="Q165"/>
      <c r="R165"/>
      <c r="S165"/>
      <c r="U165"/>
      <c r="Y165"/>
    </row>
    <row r="166" spans="1:25" ht="12.75" customHeight="1" x14ac:dyDescent="0.25">
      <c r="B166" s="3" t="s">
        <v>54</v>
      </c>
      <c r="D166" s="13"/>
      <c r="E166" s="13"/>
      <c r="F166" s="13"/>
      <c r="G166" s="153"/>
      <c r="M166" s="13"/>
      <c r="N166" s="13"/>
      <c r="O166" s="13"/>
      <c r="P166" s="13"/>
      <c r="Q166"/>
      <c r="R166"/>
      <c r="S166"/>
      <c r="U166"/>
      <c r="Y166"/>
    </row>
    <row r="167" spans="1:25" ht="12.75" customHeight="1" x14ac:dyDescent="0.25">
      <c r="B167" s="3" t="s">
        <v>72</v>
      </c>
      <c r="D167" s="13"/>
      <c r="E167" s="20">
        <v>0</v>
      </c>
      <c r="F167" s="20">
        <v>0</v>
      </c>
      <c r="G167" s="160">
        <v>0</v>
      </c>
      <c r="H167" s="20">
        <v>0</v>
      </c>
      <c r="I167" s="20">
        <v>0</v>
      </c>
      <c r="J167" s="20">
        <v>0</v>
      </c>
      <c r="K167" s="20">
        <v>0</v>
      </c>
      <c r="L167" s="20">
        <v>0</v>
      </c>
      <c r="M167" s="20">
        <v>0</v>
      </c>
      <c r="N167" s="20">
        <v>0</v>
      </c>
      <c r="O167" s="20">
        <v>0</v>
      </c>
      <c r="P167" s="20">
        <v>0</v>
      </c>
      <c r="Q167"/>
      <c r="R167"/>
      <c r="S167"/>
      <c r="U167"/>
      <c r="Y167"/>
    </row>
    <row r="168" spans="1:25" ht="12.75" customHeight="1" x14ac:dyDescent="0.25">
      <c r="B168" s="22" t="s">
        <v>331</v>
      </c>
      <c r="C168" s="22"/>
      <c r="D168" s="30"/>
      <c r="E168" s="76">
        <f>Exp!E114+Exp!E116</f>
        <v>0</v>
      </c>
      <c r="F168" s="76">
        <f>Exp!F114+Exp!F116</f>
        <v>0</v>
      </c>
      <c r="G168" s="177">
        <f>Exp!G114+Exp!G116</f>
        <v>73562.621518</v>
      </c>
      <c r="H168" s="76">
        <f>Exp!H114+Exp!H116</f>
        <v>1498562.621518</v>
      </c>
      <c r="I168" s="76">
        <f>Exp!I114+Exp!I116</f>
        <v>448562.62151800003</v>
      </c>
      <c r="J168" s="76">
        <f>Exp!J114+Exp!J116</f>
        <v>748562.62151800003</v>
      </c>
      <c r="K168" s="76">
        <f>Exp!K114+Exp!K116</f>
        <v>98562.621518</v>
      </c>
      <c r="L168" s="76">
        <f>Exp!L114+Exp!L116</f>
        <v>98562.621518</v>
      </c>
      <c r="M168" s="76">
        <f>Exp!M114+Exp!M116</f>
        <v>98562.621518</v>
      </c>
      <c r="N168" s="76">
        <f>Exp!N114+Exp!N116</f>
        <v>98562.621518</v>
      </c>
      <c r="O168" s="76">
        <f>Exp!O114+Exp!O116</f>
        <v>98562.621518</v>
      </c>
      <c r="P168" s="76">
        <f>Exp!P114+Exp!P116</f>
        <v>98562.621518</v>
      </c>
      <c r="Q168"/>
      <c r="R168"/>
      <c r="S168"/>
      <c r="U168"/>
      <c r="Y168"/>
    </row>
    <row r="169" spans="1:25" ht="12.75" customHeight="1" x14ac:dyDescent="0.25">
      <c r="B169" s="3" t="s">
        <v>134</v>
      </c>
      <c r="D169" s="13"/>
      <c r="E169" s="13">
        <f t="shared" ref="E169:I169" si="149">SUM(E167:E168)</f>
        <v>0</v>
      </c>
      <c r="F169" s="13">
        <f t="shared" si="149"/>
        <v>0</v>
      </c>
      <c r="G169" s="153">
        <f>SUM(G167:G168)</f>
        <v>73562.621518</v>
      </c>
      <c r="H169" s="13">
        <f t="shared" si="149"/>
        <v>1498562.621518</v>
      </c>
      <c r="I169" s="13">
        <f t="shared" si="149"/>
        <v>448562.62151800003</v>
      </c>
      <c r="J169" s="13">
        <f t="shared" ref="J169:P169" si="150">SUM(J167:J168)</f>
        <v>748562.62151800003</v>
      </c>
      <c r="K169" s="13">
        <f t="shared" si="150"/>
        <v>98562.621518</v>
      </c>
      <c r="L169" s="13">
        <f t="shared" si="150"/>
        <v>98562.621518</v>
      </c>
      <c r="M169" s="13">
        <f t="shared" si="150"/>
        <v>98562.621518</v>
      </c>
      <c r="N169" s="13">
        <f t="shared" si="150"/>
        <v>98562.621518</v>
      </c>
      <c r="O169" s="13">
        <f t="shared" si="150"/>
        <v>98562.621518</v>
      </c>
      <c r="P169" s="13">
        <f t="shared" si="150"/>
        <v>98562.621518</v>
      </c>
      <c r="Q169"/>
      <c r="R169"/>
      <c r="S169"/>
      <c r="U169"/>
      <c r="Y169"/>
    </row>
    <row r="170" spans="1:25" customFormat="1" ht="12.75" customHeight="1" x14ac:dyDescent="0.25">
      <c r="A170" s="16"/>
      <c r="B170" s="42"/>
      <c r="C170" s="22"/>
      <c r="D170" s="22"/>
      <c r="E170" s="30"/>
      <c r="F170" s="30"/>
      <c r="G170" s="154"/>
      <c r="H170" s="30"/>
      <c r="I170" s="30"/>
      <c r="J170" s="30"/>
      <c r="K170" s="30"/>
      <c r="L170" s="30"/>
      <c r="M170" s="30"/>
      <c r="N170" s="30"/>
      <c r="O170" s="30"/>
      <c r="P170" s="30"/>
      <c r="Q170" s="3"/>
      <c r="R170" s="3"/>
      <c r="S170" s="3"/>
    </row>
    <row r="171" spans="1:25" customFormat="1" ht="12.75" customHeight="1" x14ac:dyDescent="0.25">
      <c r="A171" s="16"/>
      <c r="B171" s="3" t="s">
        <v>234</v>
      </c>
      <c r="C171" s="3"/>
      <c r="D171" s="3"/>
      <c r="E171" s="20">
        <f>SUM(E160:E161)+E165+E169</f>
        <v>2372612.98</v>
      </c>
      <c r="F171" s="13">
        <f t="shared" ref="F171:I171" si="151">SUM(F160:F161)+F165+F169</f>
        <v>2404830</v>
      </c>
      <c r="G171" s="153">
        <f>SUM(G160:G161)+G165+G169</f>
        <v>2729483.871518</v>
      </c>
      <c r="H171" s="13">
        <f t="shared" si="151"/>
        <v>4232309.371518</v>
      </c>
      <c r="I171" s="13">
        <f t="shared" si="151"/>
        <v>3312669.1089299796</v>
      </c>
      <c r="J171" s="13">
        <f t="shared" ref="J171:P171" si="152">SUM(J160:J161)+J165+J169</f>
        <v>3745429.0124419602</v>
      </c>
      <c r="K171" s="13">
        <f t="shared" si="152"/>
        <v>3180457.1121249599</v>
      </c>
      <c r="L171" s="13">
        <f t="shared" si="152"/>
        <v>3268031.8372984501</v>
      </c>
      <c r="M171" s="13">
        <f t="shared" si="152"/>
        <v>3358229.7292271452</v>
      </c>
      <c r="N171" s="13">
        <f t="shared" si="152"/>
        <v>3451129.6254137009</v>
      </c>
      <c r="O171" s="13">
        <f t="shared" si="152"/>
        <v>3546812.7284858529</v>
      </c>
      <c r="P171" s="13">
        <f t="shared" si="152"/>
        <v>3645362.6771501699</v>
      </c>
      <c r="Q171" s="338"/>
      <c r="R171" s="3"/>
      <c r="S171" s="3"/>
    </row>
    <row r="172" spans="1:25" customFormat="1" ht="3.9" customHeight="1" thickBot="1" x14ac:dyDescent="0.3">
      <c r="A172" s="31"/>
      <c r="B172" s="32"/>
      <c r="C172" s="32"/>
      <c r="D172" s="32"/>
      <c r="E172" s="33"/>
      <c r="F172" s="33"/>
      <c r="G172" s="174"/>
      <c r="H172" s="33"/>
      <c r="I172" s="33"/>
      <c r="J172" s="33"/>
      <c r="K172" s="33"/>
      <c r="L172" s="33"/>
      <c r="M172" s="33"/>
      <c r="N172" s="33"/>
      <c r="O172" s="33"/>
      <c r="P172" s="33"/>
      <c r="Q172" s="3"/>
      <c r="R172" s="3"/>
      <c r="S172" s="3"/>
    </row>
    <row r="173" spans="1:25" customFormat="1" ht="12.75" customHeight="1" thickTop="1" x14ac:dyDescent="0.25">
      <c r="A173" s="77" t="s">
        <v>164</v>
      </c>
      <c r="B173" s="3"/>
      <c r="C173" s="3"/>
      <c r="D173" s="3"/>
      <c r="E173" s="434">
        <f t="shared" ref="E173:I173" si="153">E157-E171</f>
        <v>604237.20580000011</v>
      </c>
      <c r="F173" s="434">
        <f t="shared" si="153"/>
        <v>568660.4429999995</v>
      </c>
      <c r="G173" s="435">
        <f t="shared" si="153"/>
        <v>1010268.454382</v>
      </c>
      <c r="H173" s="434">
        <f t="shared" si="153"/>
        <v>523510.71048533265</v>
      </c>
      <c r="I173" s="434">
        <f t="shared" si="153"/>
        <v>1443142.7230733531</v>
      </c>
      <c r="J173" s="434">
        <f t="shared" ref="J173:P173" si="154">J157-J171</f>
        <v>1010369.8195613725</v>
      </c>
      <c r="K173" s="434">
        <f t="shared" si="154"/>
        <v>1575323.9698783727</v>
      </c>
      <c r="L173" s="434">
        <f t="shared" si="154"/>
        <v>1487726.7447048826</v>
      </c>
      <c r="M173" s="434">
        <f t="shared" si="154"/>
        <v>1397501.6027761875</v>
      </c>
      <c r="N173" s="434">
        <f t="shared" si="154"/>
        <v>1304569.7065896317</v>
      </c>
      <c r="O173" s="434">
        <f t="shared" si="154"/>
        <v>1208849.8535174797</v>
      </c>
      <c r="P173" s="434">
        <f t="shared" si="154"/>
        <v>1110258.4048531628</v>
      </c>
      <c r="Q173" s="3"/>
      <c r="R173" s="3"/>
      <c r="S173" s="3"/>
    </row>
    <row r="174" spans="1:25" customFormat="1" ht="3.9" customHeight="1" thickBot="1" x14ac:dyDescent="0.3">
      <c r="A174" s="31"/>
      <c r="B174" s="32"/>
      <c r="C174" s="32"/>
      <c r="D174" s="32"/>
      <c r="E174" s="33"/>
      <c r="F174" s="33"/>
      <c r="G174" s="174"/>
      <c r="H174" s="33"/>
      <c r="I174" s="33"/>
      <c r="J174" s="33"/>
      <c r="K174" s="33"/>
      <c r="L174" s="33"/>
      <c r="M174" s="33"/>
      <c r="N174" s="33"/>
      <c r="O174" s="33"/>
      <c r="P174" s="33"/>
      <c r="Q174" s="3"/>
      <c r="R174" s="3"/>
      <c r="S174" s="3"/>
    </row>
    <row r="175" spans="1:25" customFormat="1" ht="12.75" customHeight="1" thickTop="1" x14ac:dyDescent="0.25">
      <c r="A175" s="72" t="s">
        <v>229</v>
      </c>
      <c r="B175" s="3"/>
      <c r="C175" s="3"/>
      <c r="D175" s="3"/>
      <c r="E175" s="13"/>
      <c r="F175" s="411">
        <f>684024/2</f>
        <v>342012</v>
      </c>
      <c r="G175" s="160">
        <f t="shared" ref="G175:I175" si="155">G152+G173</f>
        <v>1352280.454382</v>
      </c>
      <c r="H175" s="13">
        <f t="shared" si="155"/>
        <v>1875791.1648673327</v>
      </c>
      <c r="I175" s="13">
        <f t="shared" si="155"/>
        <v>3318933.8879406857</v>
      </c>
      <c r="J175" s="13">
        <f t="shared" ref="J175:P175" si="156">J152+J173</f>
        <v>4329303.7075020578</v>
      </c>
      <c r="K175" s="13">
        <f t="shared" si="156"/>
        <v>5904627.6773804305</v>
      </c>
      <c r="L175" s="13">
        <f t="shared" si="156"/>
        <v>7392354.4220853131</v>
      </c>
      <c r="M175" s="13">
        <f t="shared" si="156"/>
        <v>8789856.0248614997</v>
      </c>
      <c r="N175" s="13">
        <f t="shared" si="156"/>
        <v>10094425.731451131</v>
      </c>
      <c r="O175" s="13">
        <f t="shared" si="156"/>
        <v>11303275.584968612</v>
      </c>
      <c r="P175" s="13">
        <f t="shared" si="156"/>
        <v>12413533.989821775</v>
      </c>
      <c r="Q175" s="3"/>
      <c r="R175" s="3"/>
      <c r="S175" s="3"/>
    </row>
    <row r="176" spans="1:25" customFormat="1" ht="3.9" customHeight="1" thickBot="1" x14ac:dyDescent="0.3">
      <c r="A176" s="14"/>
      <c r="B176" s="7"/>
      <c r="C176" s="7"/>
      <c r="D176" s="7"/>
      <c r="E176" s="15"/>
      <c r="F176" s="15"/>
      <c r="G176" s="155"/>
      <c r="H176" s="15"/>
      <c r="I176" s="15"/>
      <c r="J176" s="15"/>
      <c r="K176" s="15"/>
      <c r="L176" s="15"/>
      <c r="M176" s="15"/>
      <c r="N176" s="15"/>
      <c r="O176" s="15"/>
      <c r="P176" s="15"/>
      <c r="Q176" s="3"/>
      <c r="R176" s="3"/>
      <c r="S176" s="3"/>
    </row>
    <row r="177" spans="1:19" customFormat="1" ht="3.9" customHeight="1" x14ac:dyDescent="0.25">
      <c r="A177" s="16"/>
      <c r="B177" s="3"/>
      <c r="C177" s="3"/>
      <c r="D177" s="3"/>
      <c r="E177" s="13"/>
      <c r="F177" s="13"/>
      <c r="G177" s="153"/>
      <c r="H177" s="13"/>
      <c r="I177" s="13"/>
      <c r="J177" s="13"/>
      <c r="K177" s="13"/>
      <c r="L177" s="13"/>
      <c r="M177" s="13"/>
      <c r="N177" s="13"/>
      <c r="O177" s="13"/>
      <c r="P177" s="13"/>
      <c r="Q177" s="3"/>
      <c r="R177" s="3"/>
      <c r="S177" s="3"/>
    </row>
    <row r="178" spans="1:19" customFormat="1" ht="12.75" customHeight="1" x14ac:dyDescent="0.25">
      <c r="A178" s="77" t="s">
        <v>245</v>
      </c>
      <c r="B178" s="3"/>
      <c r="C178" s="3"/>
      <c r="D178" s="3"/>
      <c r="E178" s="20"/>
      <c r="F178" s="20"/>
      <c r="G178" s="153"/>
      <c r="H178" s="13"/>
      <c r="I178" s="13"/>
      <c r="J178" s="13"/>
      <c r="K178" s="13"/>
      <c r="L178" s="13"/>
      <c r="M178" s="13"/>
      <c r="N178" s="13"/>
      <c r="O178" s="13"/>
      <c r="P178" s="13"/>
      <c r="Q178" s="3"/>
      <c r="R178" s="3"/>
      <c r="S178" s="3"/>
    </row>
    <row r="179" spans="1:19" customFormat="1" ht="12.75" customHeight="1" x14ac:dyDescent="0.25">
      <c r="A179" s="62" t="s">
        <v>247</v>
      </c>
      <c r="B179" s="3"/>
      <c r="C179" s="3"/>
      <c r="D179" s="3"/>
      <c r="E179" s="20">
        <f t="shared" ref="E179:I179" si="157">E175-D175</f>
        <v>0</v>
      </c>
      <c r="F179" s="20">
        <f t="shared" si="157"/>
        <v>342012</v>
      </c>
      <c r="G179" s="153">
        <f t="shared" si="157"/>
        <v>1010268.454382</v>
      </c>
      <c r="H179" s="13">
        <f t="shared" si="157"/>
        <v>523510.71048533265</v>
      </c>
      <c r="I179" s="13">
        <f t="shared" si="157"/>
        <v>1443142.7230733531</v>
      </c>
      <c r="J179" s="13">
        <f t="shared" ref="J179" si="158">J175-I175</f>
        <v>1010369.819561372</v>
      </c>
      <c r="K179" s="13">
        <f t="shared" ref="K179" si="159">K175-J175</f>
        <v>1575323.9698783727</v>
      </c>
      <c r="L179" s="13">
        <f t="shared" ref="L179" si="160">L175-K175</f>
        <v>1487726.7447048826</v>
      </c>
      <c r="M179" s="13">
        <f t="shared" ref="M179" si="161">M175-L175</f>
        <v>1397501.6027761865</v>
      </c>
      <c r="N179" s="13">
        <f t="shared" ref="N179" si="162">N175-M175</f>
        <v>1304569.7065896317</v>
      </c>
      <c r="O179" s="13">
        <f t="shared" ref="O179" si="163">O175-N175</f>
        <v>1208849.8535174802</v>
      </c>
      <c r="P179" s="13">
        <f t="shared" ref="P179" si="164">P175-O175</f>
        <v>1110258.4048531633</v>
      </c>
      <c r="Q179" s="3"/>
      <c r="R179" s="3"/>
      <c r="S179" s="3"/>
    </row>
    <row r="180" spans="1:19" customFormat="1" ht="12.75" customHeight="1" x14ac:dyDescent="0.25">
      <c r="A180" s="74" t="s">
        <v>249</v>
      </c>
      <c r="B180" s="3"/>
      <c r="C180" s="3"/>
      <c r="D180" s="3"/>
      <c r="E180" s="54">
        <f t="shared" ref="E180:I180" si="165">E175/E171</f>
        <v>0</v>
      </c>
      <c r="F180" s="54">
        <f>F175/F171</f>
        <v>0.14221878469579971</v>
      </c>
      <c r="G180" s="156">
        <f t="shared" si="165"/>
        <v>0.49543449166084663</v>
      </c>
      <c r="H180" s="23">
        <f t="shared" si="165"/>
        <v>0.44320747852006476</v>
      </c>
      <c r="I180" s="23">
        <f t="shared" si="165"/>
        <v>1.0018911574940637</v>
      </c>
      <c r="J180" s="23">
        <f t="shared" ref="J180:P180" si="166">J175/J171</f>
        <v>1.1558899376067524</v>
      </c>
      <c r="K180" s="23">
        <f t="shared" si="166"/>
        <v>1.8565342871218187</v>
      </c>
      <c r="L180" s="23">
        <f t="shared" si="166"/>
        <v>2.2620203199110427</v>
      </c>
      <c r="M180" s="23">
        <f t="shared" si="166"/>
        <v>2.6174076026908306</v>
      </c>
      <c r="N180" s="23">
        <f t="shared" si="166"/>
        <v>2.9249627881598541</v>
      </c>
      <c r="O180" s="23">
        <f t="shared" si="166"/>
        <v>3.1868825478682719</v>
      </c>
      <c r="P180" s="23">
        <f t="shared" si="166"/>
        <v>3.4052946412251872</v>
      </c>
      <c r="Q180" s="3"/>
      <c r="R180" s="3"/>
      <c r="S180" s="3"/>
    </row>
    <row r="181" spans="1:19" customFormat="1" ht="12.75" customHeight="1" x14ac:dyDescent="0.25">
      <c r="A181" s="74" t="s">
        <v>273</v>
      </c>
      <c r="B181" s="3"/>
      <c r="C181" s="3"/>
      <c r="D181" s="3"/>
      <c r="E181" s="54"/>
      <c r="F181" s="54"/>
      <c r="G181" s="412">
        <f>(G171-G168)*G184</f>
        <v>1327960.625</v>
      </c>
      <c r="H181" s="413">
        <f t="shared" ref="H181:I181" si="167">(H171-H168)*H184</f>
        <v>1366873.375</v>
      </c>
      <c r="I181" s="413">
        <f t="shared" si="167"/>
        <v>1432053.2437059898</v>
      </c>
      <c r="J181" s="413">
        <f t="shared" ref="J181:P181" si="168">(J171-J168)*J184</f>
        <v>1498433.1954619801</v>
      </c>
      <c r="K181" s="413">
        <f t="shared" si="168"/>
        <v>1540947.24530348</v>
      </c>
      <c r="L181" s="413">
        <f t="shared" si="168"/>
        <v>1584734.607890225</v>
      </c>
      <c r="M181" s="413">
        <f t="shared" si="168"/>
        <v>1629833.5538545726</v>
      </c>
      <c r="N181" s="413">
        <f t="shared" si="168"/>
        <v>1676283.5019478505</v>
      </c>
      <c r="O181" s="413">
        <f t="shared" si="168"/>
        <v>1724125.0534839265</v>
      </c>
      <c r="P181" s="413">
        <f t="shared" si="168"/>
        <v>1773400.0278160849</v>
      </c>
      <c r="Q181" s="3"/>
      <c r="R181" s="3"/>
      <c r="S181" s="3"/>
    </row>
    <row r="182" spans="1:19" customFormat="1" ht="3.9" customHeight="1" x14ac:dyDescent="0.25">
      <c r="A182" s="74"/>
      <c r="B182" s="3"/>
      <c r="C182" s="3"/>
      <c r="D182" s="3"/>
      <c r="E182" s="45"/>
      <c r="F182" s="45"/>
      <c r="G182" s="157"/>
      <c r="H182" s="34"/>
      <c r="I182" s="34"/>
      <c r="J182" s="34"/>
      <c r="K182" s="34"/>
      <c r="L182" s="34"/>
      <c r="M182" s="34"/>
      <c r="N182" s="34"/>
      <c r="O182" s="34"/>
      <c r="P182" s="34"/>
      <c r="Q182" s="3"/>
      <c r="R182" s="3"/>
      <c r="S182" s="3"/>
    </row>
    <row r="183" spans="1:19" customFormat="1" ht="12.75" customHeight="1" x14ac:dyDescent="0.25">
      <c r="A183" s="74" t="s">
        <v>69</v>
      </c>
      <c r="B183" s="3"/>
      <c r="C183" s="3"/>
      <c r="D183" s="3"/>
      <c r="E183" s="210">
        <f>E175/E171</f>
        <v>0</v>
      </c>
      <c r="F183" s="210">
        <f t="shared" ref="F183:I183" si="169">F175/F171</f>
        <v>0.14221878469579971</v>
      </c>
      <c r="G183" s="161">
        <f t="shared" si="169"/>
        <v>0.49543449166084663</v>
      </c>
      <c r="H183" s="38">
        <f t="shared" si="169"/>
        <v>0.44320747852006476</v>
      </c>
      <c r="I183" s="38">
        <f t="shared" si="169"/>
        <v>1.0018911574940637</v>
      </c>
      <c r="J183" s="38">
        <f t="shared" ref="J183:P183" si="170">J175/J171</f>
        <v>1.1558899376067524</v>
      </c>
      <c r="K183" s="38">
        <f t="shared" si="170"/>
        <v>1.8565342871218187</v>
      </c>
      <c r="L183" s="38">
        <f t="shared" si="170"/>
        <v>2.2620203199110427</v>
      </c>
      <c r="M183" s="38">
        <f t="shared" si="170"/>
        <v>2.6174076026908306</v>
      </c>
      <c r="N183" s="38">
        <f t="shared" si="170"/>
        <v>2.9249627881598541</v>
      </c>
      <c r="O183" s="38">
        <f t="shared" si="170"/>
        <v>3.1868825478682719</v>
      </c>
      <c r="P183" s="38">
        <f t="shared" si="170"/>
        <v>3.4052946412251872</v>
      </c>
      <c r="Q183" s="3"/>
      <c r="R183" s="3"/>
      <c r="S183" s="3"/>
    </row>
    <row r="184" spans="1:19" customFormat="1" ht="12.75" customHeight="1" x14ac:dyDescent="0.25">
      <c r="A184" s="74" t="s">
        <v>70</v>
      </c>
      <c r="B184" s="3"/>
      <c r="C184" s="3"/>
      <c r="D184" s="3"/>
      <c r="E184" s="60">
        <f>E$38</f>
        <v>0.5</v>
      </c>
      <c r="F184" s="60">
        <f t="shared" ref="F184:P184" si="171">F$38</f>
        <v>0.5</v>
      </c>
      <c r="G184" s="229">
        <f t="shared" si="171"/>
        <v>0.5</v>
      </c>
      <c r="H184" s="60">
        <f t="shared" si="171"/>
        <v>0.5</v>
      </c>
      <c r="I184" s="60">
        <f t="shared" si="171"/>
        <v>0.5</v>
      </c>
      <c r="J184" s="60">
        <f t="shared" si="171"/>
        <v>0.5</v>
      </c>
      <c r="K184" s="60">
        <f t="shared" si="171"/>
        <v>0.5</v>
      </c>
      <c r="L184" s="60">
        <f t="shared" si="171"/>
        <v>0.5</v>
      </c>
      <c r="M184" s="60">
        <f t="shared" si="171"/>
        <v>0.5</v>
      </c>
      <c r="N184" s="60">
        <f t="shared" si="171"/>
        <v>0.5</v>
      </c>
      <c r="O184" s="60">
        <f t="shared" si="171"/>
        <v>0.5</v>
      </c>
      <c r="P184" s="60">
        <f t="shared" si="171"/>
        <v>0.5</v>
      </c>
      <c r="Q184" s="3"/>
      <c r="R184" s="3"/>
      <c r="S184" s="3"/>
    </row>
    <row r="185" spans="1:19" customFormat="1" ht="12.75" customHeight="1" x14ac:dyDescent="0.25">
      <c r="A185" s="74" t="s">
        <v>248</v>
      </c>
      <c r="B185" s="3"/>
      <c r="C185" s="3"/>
      <c r="D185" s="3"/>
      <c r="E185" s="210">
        <f t="shared" ref="E185:I185" si="172">E183-E184</f>
        <v>-0.5</v>
      </c>
      <c r="F185" s="210">
        <f t="shared" si="172"/>
        <v>-0.35778121530420026</v>
      </c>
      <c r="G185" s="161">
        <f t="shared" si="172"/>
        <v>-4.565508339153368E-3</v>
      </c>
      <c r="H185" s="38">
        <f t="shared" si="172"/>
        <v>-5.6792521479935243E-2</v>
      </c>
      <c r="I185" s="38">
        <f t="shared" si="172"/>
        <v>0.50189115749406366</v>
      </c>
      <c r="J185" s="38">
        <f t="shared" ref="J185:P185" si="173">J183-J184</f>
        <v>0.6558899376067524</v>
      </c>
      <c r="K185" s="38">
        <f t="shared" si="173"/>
        <v>1.3565342871218187</v>
      </c>
      <c r="L185" s="38">
        <f t="shared" si="173"/>
        <v>1.7620203199110427</v>
      </c>
      <c r="M185" s="38">
        <f t="shared" si="173"/>
        <v>2.1174076026908306</v>
      </c>
      <c r="N185" s="38">
        <f t="shared" si="173"/>
        <v>2.4249627881598541</v>
      </c>
      <c r="O185" s="38">
        <f t="shared" si="173"/>
        <v>2.6868825478682719</v>
      </c>
      <c r="P185" s="38">
        <f t="shared" si="173"/>
        <v>2.9052946412251872</v>
      </c>
      <c r="Q185" s="3"/>
      <c r="R185" s="3"/>
      <c r="S185" s="3"/>
    </row>
    <row r="186" spans="1:19" customFormat="1" ht="3.9" customHeight="1" x14ac:dyDescent="0.25">
      <c r="A186" s="74"/>
      <c r="B186" s="3"/>
      <c r="C186" s="3"/>
      <c r="D186" s="3"/>
      <c r="E186" s="45"/>
      <c r="F186" s="45"/>
      <c r="G186" s="157"/>
      <c r="H186" s="34"/>
      <c r="I186" s="34"/>
      <c r="J186" s="34"/>
      <c r="K186" s="34"/>
      <c r="L186" s="34"/>
      <c r="M186" s="34"/>
      <c r="N186" s="34"/>
      <c r="O186" s="34"/>
      <c r="P186" s="34"/>
      <c r="Q186" s="3"/>
      <c r="R186" s="3"/>
      <c r="S186" s="3"/>
    </row>
    <row r="187" spans="1:19" customFormat="1" ht="12.75" customHeight="1" x14ac:dyDescent="0.25">
      <c r="A187" s="74" t="s">
        <v>198</v>
      </c>
      <c r="B187" s="3"/>
      <c r="C187" s="3"/>
      <c r="D187" s="3"/>
      <c r="E187" s="20">
        <f>E155-E160-E167</f>
        <v>604237.20580000011</v>
      </c>
      <c r="F187" s="20">
        <f t="shared" ref="F187:I187" si="174">F155-F160-F167</f>
        <v>568660.4429999995</v>
      </c>
      <c r="G187" s="153">
        <f>G155-G160-G167</f>
        <v>1083831.0759000001</v>
      </c>
      <c r="H187" s="13">
        <f>H155-H160-H167</f>
        <v>2022073.3320033327</v>
      </c>
      <c r="I187" s="13">
        <f t="shared" si="174"/>
        <v>1941909.462003333</v>
      </c>
      <c r="J187" s="13">
        <f t="shared" ref="J187:P187" si="175">J155-J160-J167</f>
        <v>1859340.6759033324</v>
      </c>
      <c r="K187" s="13">
        <f t="shared" si="175"/>
        <v>1774294.8262203326</v>
      </c>
      <c r="L187" s="13">
        <f t="shared" si="175"/>
        <v>1686697.6010468425</v>
      </c>
      <c r="M187" s="13">
        <f t="shared" si="175"/>
        <v>1596472.4591181474</v>
      </c>
      <c r="N187" s="13">
        <f t="shared" si="175"/>
        <v>1503540.5629315916</v>
      </c>
      <c r="O187" s="13">
        <f t="shared" si="175"/>
        <v>1407820.7098594396</v>
      </c>
      <c r="P187" s="13">
        <f t="shared" si="175"/>
        <v>1309229.2611951227</v>
      </c>
      <c r="Q187" s="3"/>
      <c r="R187" s="3"/>
      <c r="S187" s="3"/>
    </row>
    <row r="188" spans="1:19" customFormat="1" ht="12.75" customHeight="1" x14ac:dyDescent="0.25">
      <c r="A188" s="74" t="s">
        <v>202</v>
      </c>
      <c r="B188" s="3"/>
      <c r="C188" s="3"/>
      <c r="D188" s="3"/>
      <c r="E188" s="52">
        <f t="shared" ref="E188:I188" si="176">IF(E165&gt;0,E187/E165,0)</f>
        <v>10.475683344550399</v>
      </c>
      <c r="F188" s="52">
        <f t="shared" si="176"/>
        <v>9.2285044303797381</v>
      </c>
      <c r="G188" s="199">
        <f t="shared" si="176"/>
        <v>17.588592829583952</v>
      </c>
      <c r="H188" s="198">
        <f t="shared" si="176"/>
        <v>32.816409752114168</v>
      </c>
      <c r="I188" s="198">
        <f t="shared" si="176"/>
        <v>17.36737891994246</v>
      </c>
      <c r="J188" s="198">
        <f t="shared" ref="J188:P188" si="177">IF(J165&gt;0,J187/J165,0)</f>
        <v>11.477076135606509</v>
      </c>
      <c r="K188" s="198">
        <f t="shared" si="177"/>
        <v>10.953317194887937</v>
      </c>
      <c r="L188" s="198">
        <f t="shared" si="177"/>
        <v>10.413996641795405</v>
      </c>
      <c r="M188" s="198">
        <f t="shared" si="177"/>
        <v>9.8585878711196528</v>
      </c>
      <c r="N188" s="198">
        <f t="shared" si="177"/>
        <v>9.2865469394266036</v>
      </c>
      <c r="O188" s="198">
        <f t="shared" si="177"/>
        <v>8.6973119652693001</v>
      </c>
      <c r="P188" s="198">
        <f t="shared" si="177"/>
        <v>8.0903025080726767</v>
      </c>
      <c r="Q188" s="3"/>
      <c r="R188" s="3"/>
      <c r="S188" s="3"/>
    </row>
    <row r="189" spans="1:19" customFormat="1" ht="12.75" customHeight="1" x14ac:dyDescent="0.25">
      <c r="A189" s="74" t="s">
        <v>201</v>
      </c>
      <c r="B189" s="3"/>
      <c r="C189" s="3"/>
      <c r="D189" s="3"/>
      <c r="E189" s="205">
        <v>1.25</v>
      </c>
      <c r="F189" s="205">
        <f t="shared" ref="F189:P189" si="178">F$43</f>
        <v>1.25</v>
      </c>
      <c r="G189" s="206">
        <f t="shared" si="178"/>
        <v>1.25</v>
      </c>
      <c r="H189" s="205">
        <f t="shared" si="178"/>
        <v>1.25</v>
      </c>
      <c r="I189" s="205">
        <f t="shared" si="178"/>
        <v>1.25</v>
      </c>
      <c r="J189" s="205">
        <f t="shared" si="178"/>
        <v>1.25</v>
      </c>
      <c r="K189" s="205">
        <f t="shared" si="178"/>
        <v>1.25</v>
      </c>
      <c r="L189" s="205">
        <f t="shared" si="178"/>
        <v>1.25</v>
      </c>
      <c r="M189" s="205">
        <f t="shared" si="178"/>
        <v>1.25</v>
      </c>
      <c r="N189" s="205">
        <f t="shared" si="178"/>
        <v>1.25</v>
      </c>
      <c r="O189" s="205">
        <f t="shared" si="178"/>
        <v>1.25</v>
      </c>
      <c r="P189" s="205">
        <f t="shared" si="178"/>
        <v>1.25</v>
      </c>
      <c r="Q189" s="3"/>
      <c r="R189" s="3"/>
      <c r="S189" s="3"/>
    </row>
    <row r="190" spans="1:19" customFormat="1" ht="12.75" customHeight="1" x14ac:dyDescent="0.25">
      <c r="A190" s="74" t="s">
        <v>248</v>
      </c>
      <c r="B190" s="3"/>
      <c r="C190" s="3"/>
      <c r="D190" s="3"/>
      <c r="E190" s="52">
        <f t="shared" ref="E190:I190" si="179">E188-E189</f>
        <v>9.225683344550399</v>
      </c>
      <c r="F190" s="52">
        <f t="shared" si="179"/>
        <v>7.9785044303797381</v>
      </c>
      <c r="G190" s="199">
        <f t="shared" si="179"/>
        <v>16.338592829583952</v>
      </c>
      <c r="H190" s="198">
        <f t="shared" si="179"/>
        <v>31.566409752114168</v>
      </c>
      <c r="I190" s="198">
        <f t="shared" si="179"/>
        <v>16.11737891994246</v>
      </c>
      <c r="J190" s="198">
        <f t="shared" ref="J190:P190" si="180">J188-J189</f>
        <v>10.227076135606509</v>
      </c>
      <c r="K190" s="198">
        <f t="shared" si="180"/>
        <v>9.7033171948879371</v>
      </c>
      <c r="L190" s="198">
        <f t="shared" si="180"/>
        <v>9.1639966417954053</v>
      </c>
      <c r="M190" s="198">
        <f t="shared" si="180"/>
        <v>8.6085878711196528</v>
      </c>
      <c r="N190" s="198">
        <f t="shared" si="180"/>
        <v>8.0365469394266036</v>
      </c>
      <c r="O190" s="198">
        <f t="shared" si="180"/>
        <v>7.4473119652693001</v>
      </c>
      <c r="P190" s="198">
        <f t="shared" si="180"/>
        <v>6.8403025080726767</v>
      </c>
      <c r="Q190" s="3"/>
      <c r="R190" s="3"/>
      <c r="S190" s="3"/>
    </row>
    <row r="191" spans="1:19" customFormat="1" ht="3.9" customHeight="1" thickBot="1" x14ac:dyDescent="0.3">
      <c r="A191" s="75"/>
      <c r="B191" s="7"/>
      <c r="C191" s="7"/>
      <c r="D191" s="7"/>
      <c r="E191" s="68"/>
      <c r="F191" s="68"/>
      <c r="G191" s="159"/>
      <c r="H191" s="68"/>
      <c r="I191" s="68"/>
      <c r="J191" s="68"/>
      <c r="K191" s="68"/>
      <c r="L191" s="68"/>
      <c r="M191" s="68"/>
      <c r="N191" s="68"/>
      <c r="O191" s="68"/>
      <c r="P191" s="68"/>
      <c r="Q191" s="3"/>
      <c r="R191" s="3"/>
      <c r="S191" s="3"/>
    </row>
    <row r="192" spans="1:19" customFormat="1" ht="12.75" customHeight="1" x14ac:dyDescent="0.25">
      <c r="A192" s="16"/>
      <c r="B192" s="3"/>
      <c r="C192" s="3"/>
      <c r="D192" s="3"/>
      <c r="E192" s="20"/>
      <c r="F192" s="20"/>
      <c r="G192" s="160"/>
      <c r="H192" s="20"/>
      <c r="I192" s="20"/>
      <c r="J192" s="20"/>
      <c r="K192" s="20"/>
      <c r="L192" s="20"/>
      <c r="M192" s="20"/>
      <c r="N192" s="20"/>
      <c r="O192" s="20"/>
      <c r="P192" s="20"/>
      <c r="Q192" s="3"/>
      <c r="R192" s="3"/>
      <c r="S192" s="3"/>
    </row>
    <row r="193" spans="1:19" customFormat="1" ht="12.75" customHeight="1" x14ac:dyDescent="0.25">
      <c r="A193" s="16"/>
      <c r="B193" s="3"/>
      <c r="C193" s="3"/>
      <c r="D193" s="3"/>
      <c r="E193" s="13"/>
      <c r="F193" s="13"/>
      <c r="G193" s="153"/>
      <c r="H193" s="13"/>
      <c r="I193" s="13"/>
      <c r="J193" s="13"/>
      <c r="K193" s="13"/>
      <c r="L193" s="13"/>
      <c r="M193" s="13"/>
      <c r="N193" s="13"/>
      <c r="O193" s="13"/>
      <c r="P193" s="13"/>
      <c r="Q193" s="3"/>
      <c r="R193" s="3"/>
      <c r="S193" s="3"/>
    </row>
    <row r="194" spans="1:19" customFormat="1" ht="12.75" customHeight="1" x14ac:dyDescent="0.25">
      <c r="A194" s="16"/>
      <c r="B194" s="3"/>
      <c r="C194" s="3"/>
      <c r="D194" s="3"/>
      <c r="E194" s="13"/>
      <c r="F194" s="13"/>
      <c r="G194" s="153"/>
      <c r="H194" s="13"/>
      <c r="I194" s="13"/>
      <c r="J194" s="13"/>
      <c r="K194" s="13"/>
      <c r="L194" s="13"/>
      <c r="M194" s="13"/>
      <c r="N194" s="13"/>
      <c r="O194" s="13"/>
      <c r="P194" s="13"/>
      <c r="Q194" s="3"/>
      <c r="R194" s="3"/>
      <c r="S194" s="3"/>
    </row>
    <row r="195" spans="1:19" customFormat="1" ht="12.75" customHeight="1" x14ac:dyDescent="0.25">
      <c r="A195" s="16"/>
      <c r="B195" s="3"/>
      <c r="C195" s="3"/>
      <c r="D195" s="3"/>
      <c r="E195" s="13"/>
      <c r="F195" s="13"/>
      <c r="G195" s="153"/>
      <c r="H195" s="13"/>
      <c r="I195" s="13"/>
      <c r="J195" s="13"/>
      <c r="K195" s="13"/>
      <c r="L195" s="13"/>
      <c r="M195" s="13"/>
      <c r="N195" s="13"/>
      <c r="O195" s="13"/>
      <c r="P195" s="13"/>
      <c r="Q195" s="3"/>
      <c r="R195" s="3"/>
      <c r="S195" s="3"/>
    </row>
    <row r="196" spans="1:19" customFormat="1" ht="12.75" customHeight="1" x14ac:dyDescent="0.25">
      <c r="A196" s="16"/>
      <c r="B196" s="3"/>
      <c r="C196" s="3"/>
      <c r="D196" s="3"/>
      <c r="E196" s="13"/>
      <c r="F196" s="13"/>
      <c r="G196" s="153"/>
      <c r="H196" s="13"/>
      <c r="I196" s="13"/>
      <c r="J196" s="13"/>
      <c r="K196" s="13"/>
      <c r="L196" s="13"/>
      <c r="M196" s="13"/>
      <c r="N196" s="13"/>
      <c r="O196" s="13"/>
      <c r="P196" s="13"/>
      <c r="Q196" s="3"/>
      <c r="R196" s="3"/>
      <c r="S196" s="3"/>
    </row>
    <row r="197" spans="1:19" customFormat="1" ht="12.75" customHeight="1" x14ac:dyDescent="0.25">
      <c r="A197" s="16"/>
      <c r="B197" s="3"/>
      <c r="C197" s="3"/>
      <c r="D197" s="3"/>
      <c r="E197" s="13"/>
      <c r="F197" s="13"/>
      <c r="G197" s="153"/>
      <c r="H197" s="13"/>
      <c r="I197" s="13"/>
      <c r="J197" s="13"/>
      <c r="K197" s="13"/>
      <c r="L197" s="13"/>
      <c r="M197" s="13"/>
      <c r="N197" s="13"/>
      <c r="O197" s="13"/>
      <c r="P197" s="13"/>
      <c r="Q197" s="3"/>
      <c r="R197" s="3"/>
      <c r="S197" s="3"/>
    </row>
    <row r="198" spans="1:19" customFormat="1" ht="12.75" customHeight="1" x14ac:dyDescent="0.25">
      <c r="A198" s="16"/>
      <c r="B198" s="3"/>
      <c r="C198" s="140"/>
      <c r="D198" s="140"/>
      <c r="E198" s="13"/>
      <c r="F198" s="13"/>
      <c r="G198" s="153"/>
      <c r="H198" s="13"/>
      <c r="I198" s="13"/>
      <c r="J198" s="13"/>
      <c r="K198" s="13"/>
      <c r="L198" s="13"/>
      <c r="M198" s="13"/>
      <c r="N198" s="13"/>
      <c r="O198" s="13"/>
      <c r="P198" s="13"/>
      <c r="Q198" s="3"/>
      <c r="R198" s="3"/>
      <c r="S198" s="3"/>
    </row>
    <row r="199" spans="1:19" customFormat="1" ht="12.75" customHeight="1" x14ac:dyDescent="0.25">
      <c r="A199" s="16"/>
      <c r="B199" s="3"/>
      <c r="C199" s="3"/>
      <c r="D199" s="3"/>
      <c r="E199" s="13"/>
      <c r="F199" s="13"/>
      <c r="G199" s="153"/>
      <c r="H199" s="13"/>
      <c r="I199" s="13"/>
      <c r="J199" s="13"/>
      <c r="K199" s="13"/>
      <c r="L199" s="13"/>
      <c r="M199" s="13"/>
      <c r="N199" s="13"/>
      <c r="O199" s="13"/>
      <c r="P199" s="13"/>
      <c r="Q199" s="3"/>
      <c r="R199" s="3"/>
      <c r="S199" s="3"/>
    </row>
    <row r="200" spans="1:19" customFormat="1" ht="12.75" customHeight="1" x14ac:dyDescent="0.25">
      <c r="A200" s="16"/>
      <c r="B200" s="3"/>
      <c r="C200" s="3"/>
      <c r="D200" s="3"/>
      <c r="E200" s="13"/>
      <c r="F200" s="13"/>
      <c r="G200" s="153"/>
      <c r="H200" s="13"/>
      <c r="I200" s="13"/>
      <c r="J200" s="13"/>
      <c r="K200" s="13"/>
      <c r="L200" s="13"/>
      <c r="M200" s="13"/>
      <c r="N200" s="13"/>
      <c r="O200" s="13"/>
      <c r="P200" s="13"/>
      <c r="Q200" s="3"/>
      <c r="R200" s="3"/>
      <c r="S200" s="3"/>
    </row>
    <row r="201" spans="1:19" customFormat="1" ht="12.75" customHeight="1" x14ac:dyDescent="0.25">
      <c r="A201" s="16"/>
      <c r="B201" s="3"/>
      <c r="C201" s="3"/>
      <c r="D201" s="3"/>
      <c r="E201" s="13"/>
      <c r="F201" s="13"/>
      <c r="G201" s="153"/>
      <c r="H201" s="13"/>
      <c r="I201" s="13"/>
      <c r="J201" s="13"/>
      <c r="K201" s="13"/>
      <c r="L201" s="13"/>
      <c r="M201" s="13"/>
      <c r="N201" s="13"/>
      <c r="O201" s="13"/>
      <c r="P201" s="13"/>
      <c r="Q201" s="3"/>
      <c r="R201" s="3"/>
      <c r="S201" s="3"/>
    </row>
    <row r="202" spans="1:19" customFormat="1" ht="12.75" customHeight="1" x14ac:dyDescent="0.25">
      <c r="A202" s="16"/>
      <c r="B202" s="3"/>
      <c r="C202" s="3"/>
      <c r="D202" s="3"/>
      <c r="E202" s="13"/>
      <c r="F202" s="13"/>
      <c r="G202" s="153"/>
      <c r="H202" s="13"/>
      <c r="I202" s="13"/>
      <c r="J202" s="13"/>
      <c r="K202" s="13"/>
      <c r="L202" s="13"/>
      <c r="M202" s="13"/>
      <c r="N202" s="13"/>
      <c r="O202" s="13"/>
      <c r="P202" s="13"/>
      <c r="Q202" s="3"/>
      <c r="R202" s="3"/>
      <c r="S202" s="3"/>
    </row>
    <row r="203" spans="1:19" customFormat="1" ht="12.75" customHeight="1" x14ac:dyDescent="0.25">
      <c r="A203" s="16"/>
      <c r="B203" s="3"/>
      <c r="C203" s="3"/>
      <c r="D203" s="3"/>
      <c r="E203" s="13"/>
      <c r="F203" s="13"/>
      <c r="G203" s="153"/>
      <c r="H203" s="13"/>
      <c r="I203" s="13"/>
      <c r="J203" s="13"/>
      <c r="K203" s="13"/>
      <c r="L203" s="13"/>
      <c r="M203" s="13"/>
      <c r="N203" s="13"/>
      <c r="O203" s="13"/>
      <c r="P203" s="13"/>
      <c r="Q203" s="3"/>
      <c r="R203" s="3"/>
      <c r="S203" s="3"/>
    </row>
    <row r="204" spans="1:19" customFormat="1" ht="12.75" customHeight="1" x14ac:dyDescent="0.25">
      <c r="A204" s="16"/>
      <c r="B204" s="3" t="s">
        <v>48</v>
      </c>
      <c r="C204" s="3"/>
      <c r="D204" s="3"/>
      <c r="E204" s="13"/>
      <c r="F204" s="13"/>
      <c r="G204" s="153"/>
      <c r="H204" s="13"/>
      <c r="I204" s="13"/>
      <c r="J204" s="13"/>
      <c r="K204" s="13"/>
      <c r="L204" s="13"/>
      <c r="M204" s="13"/>
      <c r="N204" s="13"/>
      <c r="O204" s="13"/>
      <c r="P204" s="13"/>
      <c r="Q204" s="3"/>
      <c r="R204" s="3"/>
      <c r="S204" s="3"/>
    </row>
    <row r="205" spans="1:19" customFormat="1" ht="12.75" customHeight="1" x14ac:dyDescent="0.25">
      <c r="A205" s="16"/>
      <c r="B205" s="3"/>
      <c r="C205" s="3"/>
      <c r="D205" s="3"/>
      <c r="E205" s="13"/>
      <c r="F205" s="13"/>
      <c r="G205" s="153"/>
      <c r="H205" s="13"/>
      <c r="I205" s="13"/>
      <c r="J205" s="13"/>
      <c r="K205" s="13"/>
      <c r="L205" s="13"/>
      <c r="M205" s="13"/>
      <c r="N205" s="13"/>
      <c r="O205" s="13"/>
      <c r="P205" s="13"/>
      <c r="Q205" s="3"/>
      <c r="R205" s="3"/>
      <c r="S205" s="3"/>
    </row>
    <row r="206" spans="1:19" customFormat="1" ht="12.75" customHeight="1" x14ac:dyDescent="0.25">
      <c r="A206" s="16"/>
      <c r="B206" s="3"/>
      <c r="C206" s="3"/>
      <c r="D206" s="3"/>
      <c r="E206" s="13"/>
      <c r="F206" s="65"/>
      <c r="G206" s="176"/>
      <c r="H206" s="149"/>
      <c r="I206" s="13"/>
      <c r="J206" s="13"/>
      <c r="K206" s="13"/>
      <c r="L206" s="13"/>
      <c r="M206" s="13"/>
      <c r="N206" s="13"/>
      <c r="O206" s="13"/>
      <c r="P206" s="13"/>
      <c r="Q206" s="3"/>
      <c r="R206" s="3"/>
      <c r="S206" s="3"/>
    </row>
    <row r="207" spans="1:19" customFormat="1" ht="12.75" customHeight="1" x14ac:dyDescent="0.25">
      <c r="A207" s="16"/>
      <c r="B207" s="3"/>
      <c r="C207" s="3"/>
      <c r="D207" s="3"/>
      <c r="E207" s="13"/>
      <c r="F207" s="204"/>
      <c r="G207" s="203"/>
      <c r="H207" s="10"/>
      <c r="I207" s="13"/>
      <c r="J207" s="13"/>
      <c r="K207" s="13"/>
      <c r="L207" s="13"/>
      <c r="M207" s="13"/>
      <c r="N207" s="13"/>
      <c r="O207" s="13"/>
      <c r="P207" s="13"/>
      <c r="Q207" s="3"/>
      <c r="R207" s="3"/>
      <c r="S207" s="3"/>
    </row>
    <row r="208" spans="1:19" customFormat="1" ht="12.75" customHeight="1" x14ac:dyDescent="0.25">
      <c r="A208" s="16"/>
      <c r="B208" s="3"/>
      <c r="C208" s="3"/>
      <c r="D208" s="3"/>
      <c r="E208" s="13"/>
      <c r="F208" s="204"/>
      <c r="G208" s="203"/>
      <c r="H208" s="10"/>
      <c r="I208" s="13"/>
      <c r="J208" s="13"/>
      <c r="K208" s="13"/>
      <c r="L208" s="13"/>
      <c r="M208" s="13"/>
      <c r="N208" s="13"/>
      <c r="O208" s="13"/>
      <c r="P208" s="13"/>
      <c r="Q208" s="3"/>
      <c r="R208" s="3"/>
      <c r="S208" s="3"/>
    </row>
    <row r="209" spans="1:19" customFormat="1" ht="12.75" customHeight="1" x14ac:dyDescent="0.25">
      <c r="A209" s="16"/>
      <c r="B209" s="3"/>
      <c r="C209" s="3"/>
      <c r="D209" s="3"/>
      <c r="E209" s="13"/>
      <c r="F209" s="204"/>
      <c r="G209" s="203"/>
      <c r="H209" s="10"/>
      <c r="I209" s="13"/>
      <c r="J209" s="13"/>
      <c r="K209" s="13"/>
      <c r="L209" s="13"/>
      <c r="M209" s="13"/>
      <c r="N209" s="13"/>
      <c r="O209" s="13"/>
      <c r="P209" s="13"/>
      <c r="Q209" s="3"/>
      <c r="R209" s="3"/>
      <c r="S209" s="3"/>
    </row>
    <row r="210" spans="1:19" customFormat="1" ht="12.75" customHeight="1" x14ac:dyDescent="0.25">
      <c r="A210" s="16"/>
      <c r="B210" s="3"/>
      <c r="C210" s="3"/>
      <c r="D210" s="3"/>
      <c r="E210" s="13"/>
      <c r="F210" s="204"/>
      <c r="G210" s="203"/>
      <c r="H210" s="10"/>
      <c r="I210" s="13"/>
      <c r="J210" s="13"/>
      <c r="K210" s="13"/>
      <c r="L210" s="13"/>
      <c r="M210" s="13"/>
      <c r="N210" s="13"/>
      <c r="O210" s="13"/>
      <c r="P210" s="13"/>
      <c r="Q210" s="3"/>
      <c r="R210" s="3"/>
      <c r="S210" s="3"/>
    </row>
    <row r="211" spans="1:19" customFormat="1" ht="12.75" customHeight="1" x14ac:dyDescent="0.25">
      <c r="A211" s="16"/>
      <c r="B211" s="3"/>
      <c r="C211" s="3"/>
      <c r="D211" s="3"/>
      <c r="E211" s="13"/>
      <c r="F211" s="204"/>
      <c r="G211" s="203"/>
      <c r="H211" s="10"/>
      <c r="I211" s="13"/>
      <c r="J211" s="13"/>
      <c r="K211" s="13"/>
      <c r="L211" s="13"/>
      <c r="M211" s="13"/>
      <c r="N211" s="13"/>
      <c r="O211" s="13"/>
      <c r="P211" s="13"/>
      <c r="Q211" s="3"/>
      <c r="R211" s="3"/>
      <c r="S211" s="3"/>
    </row>
    <row r="212" spans="1:19" customFormat="1" ht="12.75" customHeight="1" x14ac:dyDescent="0.25">
      <c r="A212" s="16"/>
      <c r="B212" s="3"/>
      <c r="C212" s="3"/>
      <c r="D212" s="3"/>
      <c r="E212" s="13"/>
      <c r="F212" s="204"/>
      <c r="G212" s="203"/>
      <c r="H212" s="10"/>
      <c r="I212" s="13"/>
      <c r="J212" s="13"/>
      <c r="K212" s="13"/>
      <c r="L212" s="13"/>
      <c r="M212" s="13"/>
      <c r="N212" s="13"/>
      <c r="O212" s="13"/>
      <c r="P212" s="13"/>
      <c r="Q212" s="3"/>
      <c r="R212" s="3"/>
      <c r="S212" s="3"/>
    </row>
    <row r="213" spans="1:19" customFormat="1" ht="12.75" customHeight="1" x14ac:dyDescent="0.25">
      <c r="A213" s="16"/>
      <c r="B213" s="3"/>
      <c r="C213" s="3"/>
      <c r="D213" s="3"/>
      <c r="E213" s="13"/>
      <c r="F213" s="204"/>
      <c r="G213" s="203"/>
      <c r="H213" s="10"/>
      <c r="I213" s="13"/>
      <c r="J213" s="13"/>
      <c r="K213" s="13"/>
      <c r="L213" s="13"/>
      <c r="M213" s="13"/>
      <c r="N213" s="13"/>
      <c r="O213" s="13"/>
      <c r="P213" s="13"/>
      <c r="Q213" s="3"/>
      <c r="R213" s="3"/>
      <c r="S213" s="3"/>
    </row>
    <row r="214" spans="1:19" customFormat="1" ht="12.75" customHeight="1" x14ac:dyDescent="0.25">
      <c r="A214" s="16"/>
      <c r="B214" s="3"/>
      <c r="C214" s="3"/>
      <c r="D214" s="3"/>
      <c r="E214" s="13"/>
      <c r="F214" s="204"/>
      <c r="G214" s="203"/>
      <c r="H214" s="10"/>
      <c r="I214" s="13"/>
      <c r="J214" s="13"/>
      <c r="K214" s="13"/>
      <c r="L214" s="13"/>
      <c r="M214" s="13"/>
      <c r="N214" s="13"/>
      <c r="O214" s="13"/>
      <c r="P214" s="13"/>
      <c r="Q214" s="3"/>
      <c r="R214" s="3"/>
      <c r="S214" s="3"/>
    </row>
    <row r="215" spans="1:19" customFormat="1" ht="12.75" customHeight="1" x14ac:dyDescent="0.25">
      <c r="A215" s="16"/>
      <c r="B215" s="3"/>
      <c r="C215" s="3"/>
      <c r="D215" s="3"/>
      <c r="E215" s="13"/>
      <c r="F215" s="204"/>
      <c r="G215" s="203"/>
      <c r="H215" s="10"/>
      <c r="I215" s="13"/>
      <c r="J215" s="13"/>
      <c r="K215" s="13"/>
      <c r="L215" s="13"/>
      <c r="M215" s="13"/>
      <c r="N215" s="13"/>
      <c r="O215" s="13"/>
      <c r="P215" s="13"/>
      <c r="Q215" s="3"/>
      <c r="R215" s="3"/>
      <c r="S215" s="3"/>
    </row>
    <row r="216" spans="1:19" customFormat="1" ht="12.75" customHeight="1" x14ac:dyDescent="0.25">
      <c r="A216" s="16"/>
      <c r="B216" s="3"/>
      <c r="C216" s="3"/>
      <c r="D216" s="3"/>
      <c r="E216" s="13"/>
      <c r="F216" s="204"/>
      <c r="G216" s="10"/>
      <c r="H216" s="10"/>
      <c r="I216" s="13"/>
      <c r="J216" s="13"/>
      <c r="K216" s="13"/>
      <c r="L216" s="13"/>
      <c r="M216" s="13"/>
      <c r="N216" s="13"/>
      <c r="O216" s="13"/>
      <c r="P216" s="13"/>
      <c r="Q216" s="3"/>
      <c r="R216" s="3"/>
      <c r="S216" s="3"/>
    </row>
    <row r="217" spans="1:19" customFormat="1" ht="12.75" customHeight="1" thickBot="1" x14ac:dyDescent="0.3">
      <c r="A217" s="16"/>
      <c r="B217" s="3"/>
      <c r="C217" s="3"/>
      <c r="D217" s="3"/>
      <c r="E217" s="13"/>
      <c r="F217" s="420"/>
      <c r="G217" s="27"/>
      <c r="H217" s="10"/>
      <c r="I217" s="13"/>
      <c r="J217" s="13"/>
      <c r="K217" s="13"/>
      <c r="L217" s="13"/>
      <c r="M217" s="13"/>
      <c r="N217" s="13"/>
      <c r="O217" s="13"/>
      <c r="P217" s="13"/>
      <c r="Q217" s="3"/>
      <c r="R217" s="3"/>
      <c r="S217" s="3"/>
    </row>
    <row r="218" spans="1:19" customFormat="1" ht="12.75" customHeight="1" x14ac:dyDescent="0.25">
      <c r="A218" s="16"/>
      <c r="C218" s="359"/>
      <c r="D218" s="360" t="s">
        <v>118</v>
      </c>
      <c r="E218" s="361"/>
      <c r="F218" s="362"/>
      <c r="G218" s="418"/>
      <c r="H218" s="10"/>
      <c r="I218" s="13"/>
      <c r="J218" s="13"/>
      <c r="K218" s="13"/>
      <c r="L218" s="13"/>
      <c r="M218" s="13"/>
      <c r="N218" s="13"/>
      <c r="O218" s="13"/>
      <c r="P218" s="13"/>
      <c r="Q218" s="3"/>
      <c r="R218" s="3"/>
      <c r="S218" s="3"/>
    </row>
    <row r="219" spans="1:19" customFormat="1" ht="12.75" customHeight="1" x14ac:dyDescent="0.25">
      <c r="A219" s="16"/>
      <c r="C219" s="403"/>
      <c r="D219" s="354" t="s">
        <v>113</v>
      </c>
      <c r="E219" s="355">
        <f>E12-E84-E157</f>
        <v>0</v>
      </c>
      <c r="F219" s="342">
        <f>F12-F84-F157</f>
        <v>0</v>
      </c>
      <c r="G219" s="419">
        <f>G12-G84-G157</f>
        <v>0</v>
      </c>
      <c r="H219" s="10"/>
      <c r="I219" s="13"/>
      <c r="J219" s="13"/>
      <c r="K219" s="13"/>
      <c r="L219" s="13"/>
      <c r="M219" s="13"/>
      <c r="N219" s="13"/>
      <c r="O219" s="13"/>
      <c r="P219" s="13"/>
      <c r="Q219" s="3"/>
      <c r="R219" s="3"/>
      <c r="S219" s="3"/>
    </row>
    <row r="220" spans="1:19" customFormat="1" ht="12.75" customHeight="1" thickBot="1" x14ac:dyDescent="0.3">
      <c r="A220" s="16"/>
      <c r="C220" s="404"/>
      <c r="D220" s="356" t="s">
        <v>114</v>
      </c>
      <c r="E220" s="357">
        <f>E26-E98-E171</f>
        <v>0</v>
      </c>
      <c r="F220" s="358">
        <f>F26-F98-F171</f>
        <v>0</v>
      </c>
      <c r="G220" s="343">
        <f>G26-G98-G171</f>
        <v>0</v>
      </c>
      <c r="H220" s="10"/>
      <c r="I220" s="13"/>
      <c r="J220" s="13"/>
      <c r="K220" s="13"/>
      <c r="L220" s="13"/>
      <c r="M220" s="13"/>
      <c r="N220" s="13"/>
      <c r="O220" s="13"/>
      <c r="P220" s="13"/>
      <c r="Q220" s="3"/>
      <c r="R220" s="3"/>
      <c r="S220" s="3"/>
    </row>
    <row r="221" spans="1:19" customFormat="1" ht="12.75" customHeight="1" x14ac:dyDescent="0.25">
      <c r="A221" s="16"/>
      <c r="B221" s="3"/>
      <c r="C221" s="3"/>
      <c r="D221" s="3"/>
      <c r="E221" s="13"/>
      <c r="F221" s="204"/>
      <c r="G221" s="421"/>
      <c r="H221" s="10"/>
      <c r="I221" s="13"/>
      <c r="J221" s="13"/>
      <c r="K221" s="13"/>
      <c r="L221" s="13"/>
      <c r="M221" s="13"/>
      <c r="N221" s="13"/>
      <c r="O221" s="13"/>
      <c r="P221" s="13"/>
      <c r="Q221" s="3"/>
      <c r="R221" s="3"/>
      <c r="S221" s="3"/>
    </row>
    <row r="222" spans="1:19" customFormat="1" ht="12.75" customHeight="1" x14ac:dyDescent="0.25">
      <c r="A222" s="16"/>
      <c r="B222" s="3"/>
      <c r="C222" s="3"/>
      <c r="D222" s="3"/>
      <c r="E222" s="13"/>
      <c r="F222" s="204"/>
      <c r="G222" s="10"/>
      <c r="H222" s="10"/>
      <c r="I222" s="13"/>
      <c r="J222" s="13"/>
      <c r="K222" s="13"/>
      <c r="L222" s="13"/>
      <c r="M222" s="13"/>
      <c r="N222" s="13"/>
      <c r="O222" s="13"/>
      <c r="P222" s="13"/>
      <c r="Q222" s="3"/>
      <c r="R222" s="3"/>
      <c r="S222" s="3"/>
    </row>
    <row r="223" spans="1:19" customFormat="1" ht="12.75" customHeight="1" x14ac:dyDescent="0.25">
      <c r="A223" s="16"/>
      <c r="B223" s="3"/>
      <c r="C223" s="3"/>
      <c r="D223" s="3"/>
      <c r="E223" s="13"/>
      <c r="F223" s="204"/>
      <c r="G223" s="10"/>
      <c r="H223" s="10"/>
      <c r="I223" s="13"/>
      <c r="J223" s="13"/>
      <c r="K223" s="13"/>
      <c r="L223" s="13"/>
      <c r="M223" s="13"/>
      <c r="N223" s="13"/>
      <c r="O223" s="13"/>
      <c r="P223" s="13"/>
      <c r="Q223" s="3"/>
      <c r="R223" s="3"/>
      <c r="S223" s="3"/>
    </row>
    <row r="224" spans="1:19" customFormat="1" ht="12.75" customHeight="1" x14ac:dyDescent="0.25">
      <c r="A224" s="77" t="s">
        <v>154</v>
      </c>
      <c r="B224" s="3"/>
      <c r="C224" s="6"/>
      <c r="D224" s="6"/>
      <c r="E224" s="13"/>
      <c r="F224" s="10"/>
      <c r="G224" s="10"/>
      <c r="H224" s="10"/>
      <c r="I224" s="149"/>
      <c r="J224" s="149"/>
      <c r="K224" s="149"/>
      <c r="L224" s="149"/>
      <c r="M224" s="149"/>
      <c r="N224" s="149"/>
      <c r="O224" s="149"/>
      <c r="P224" s="149"/>
      <c r="Q224" s="3"/>
      <c r="R224" s="3"/>
      <c r="S224" s="3"/>
    </row>
    <row r="225" spans="1:19" customFormat="1" ht="12.75" customHeight="1" x14ac:dyDescent="0.25">
      <c r="A225" s="77" t="s">
        <v>152</v>
      </c>
      <c r="B225" s="3"/>
      <c r="C225" s="6"/>
      <c r="D225" s="6"/>
      <c r="E225" s="3"/>
      <c r="F225" s="3"/>
      <c r="G225" s="3"/>
      <c r="H225" s="3"/>
      <c r="I225" s="29"/>
      <c r="J225" s="29"/>
      <c r="K225" s="29"/>
      <c r="L225" s="29"/>
      <c r="M225" s="29"/>
      <c r="N225" s="29"/>
      <c r="O225" s="29"/>
      <c r="P225" s="29"/>
      <c r="Q225" s="3"/>
      <c r="R225" s="3"/>
      <c r="S225" s="3"/>
    </row>
    <row r="226" spans="1:19" customFormat="1" ht="12.75" customHeight="1" x14ac:dyDescent="0.25">
      <c r="A226" s="77" t="s">
        <v>88</v>
      </c>
      <c r="B226" s="3"/>
      <c r="C226" s="6"/>
      <c r="D226" s="6"/>
      <c r="E226" s="3"/>
      <c r="F226" s="3"/>
      <c r="G226" s="3"/>
      <c r="H226" s="3"/>
      <c r="I226" s="29"/>
      <c r="J226" s="29"/>
      <c r="K226" s="29"/>
      <c r="L226" s="29"/>
      <c r="M226" s="29"/>
      <c r="N226" s="29"/>
      <c r="O226" s="29"/>
      <c r="P226" s="29"/>
      <c r="Q226" s="3"/>
      <c r="R226" s="3"/>
      <c r="S226" s="3"/>
    </row>
    <row r="227" spans="1:19" customFormat="1" ht="12.75" customHeight="1" thickBot="1" x14ac:dyDescent="0.3">
      <c r="A227" s="78" t="s">
        <v>428</v>
      </c>
      <c r="B227" s="7"/>
      <c r="C227" s="8"/>
      <c r="D227" s="8"/>
      <c r="E227" s="7"/>
      <c r="F227" s="15"/>
      <c r="G227" s="15"/>
      <c r="H227" s="15"/>
      <c r="I227" s="7"/>
      <c r="J227" s="7"/>
      <c r="K227" s="7"/>
      <c r="L227" s="7"/>
      <c r="M227" s="7"/>
      <c r="N227" s="7"/>
      <c r="O227" s="7"/>
      <c r="P227" s="7"/>
      <c r="Q227" s="3"/>
      <c r="R227" s="3"/>
      <c r="S227" s="3"/>
    </row>
    <row r="228" spans="1:19" customFormat="1" ht="12.75" customHeight="1" x14ac:dyDescent="0.25">
      <c r="A228" s="646" t="s">
        <v>215</v>
      </c>
      <c r="B228" s="646"/>
      <c r="C228" s="646"/>
      <c r="D228" s="214"/>
      <c r="E228" s="215">
        <f>Sum!E$5</f>
        <v>2023</v>
      </c>
      <c r="F228" s="215">
        <f>Sum!F$5</f>
        <v>2024</v>
      </c>
      <c r="G228" s="216">
        <f>Sum!G$5</f>
        <v>2025</v>
      </c>
      <c r="H228" s="215">
        <f>Sum!H$5</f>
        <v>2026</v>
      </c>
      <c r="I228" s="215">
        <f>Sum!I$5</f>
        <v>2027</v>
      </c>
      <c r="J228" s="215">
        <f>Sum!J$5</f>
        <v>2028</v>
      </c>
      <c r="K228" s="215">
        <f>Sum!K$5</f>
        <v>2029</v>
      </c>
      <c r="L228" s="215">
        <f>Sum!L$5</f>
        <v>2030</v>
      </c>
      <c r="M228" s="215">
        <f>Sum!M$5</f>
        <v>2031</v>
      </c>
      <c r="N228" s="215">
        <f>Sum!N$5</f>
        <v>2032</v>
      </c>
      <c r="O228" s="215">
        <f>Sum!O$5</f>
        <v>2033</v>
      </c>
      <c r="P228" s="215">
        <f>Sum!P$5</f>
        <v>2034</v>
      </c>
      <c r="Q228" s="3"/>
      <c r="R228" s="3"/>
      <c r="S228" s="3"/>
    </row>
    <row r="229" spans="1:19" customFormat="1" ht="12.75" customHeight="1" x14ac:dyDescent="0.25">
      <c r="A229" s="16"/>
      <c r="B229" s="3"/>
      <c r="C229" s="3"/>
      <c r="D229" s="3"/>
      <c r="E229" s="13"/>
      <c r="F229" s="13"/>
      <c r="G229" s="153"/>
      <c r="H229" s="13"/>
      <c r="I229" s="13"/>
      <c r="J229" s="13"/>
      <c r="K229" s="13"/>
      <c r="L229" s="13"/>
      <c r="M229" s="13"/>
      <c r="N229" s="13"/>
      <c r="O229" s="13"/>
      <c r="P229" s="13"/>
      <c r="Q229" s="3"/>
      <c r="R229" s="3"/>
      <c r="S229" s="3"/>
    </row>
    <row r="230" spans="1:19" customFormat="1" ht="12.75" customHeight="1" x14ac:dyDescent="0.25">
      <c r="A230" s="77" t="s">
        <v>241</v>
      </c>
      <c r="B230" s="3"/>
      <c r="C230" s="3"/>
      <c r="D230" s="3"/>
      <c r="E230" s="13"/>
      <c r="F230" s="13"/>
      <c r="G230" s="153"/>
      <c r="H230" s="13"/>
      <c r="I230" s="13"/>
      <c r="J230" s="13"/>
      <c r="K230" s="13"/>
      <c r="L230" s="13"/>
      <c r="M230" s="13"/>
      <c r="N230" s="13"/>
      <c r="O230" s="13"/>
      <c r="P230" s="13"/>
      <c r="Q230" s="3"/>
      <c r="R230" s="3"/>
      <c r="S230" s="3"/>
    </row>
    <row r="231" spans="1:19" customFormat="1" ht="12.75" customHeight="1" x14ac:dyDescent="0.25">
      <c r="A231" s="62"/>
      <c r="B231" s="3" t="s">
        <v>238</v>
      </c>
      <c r="C231" s="3"/>
      <c r="D231" s="3"/>
      <c r="E231" s="13">
        <f>E84</f>
        <v>1841206.0236749998</v>
      </c>
      <c r="F231" s="13">
        <f t="shared" ref="F231:I231" si="181">F84</f>
        <v>1851238.7345499999</v>
      </c>
      <c r="G231" s="153">
        <f t="shared" si="181"/>
        <v>2833447.2672909996</v>
      </c>
      <c r="H231" s="13">
        <f t="shared" si="181"/>
        <v>3074260.6799229998</v>
      </c>
      <c r="I231" s="13">
        <f t="shared" si="181"/>
        <v>3152831.6108275</v>
      </c>
      <c r="J231" s="13">
        <f t="shared" ref="J231:P231" si="182">J84</f>
        <v>3232155.9669717452</v>
      </c>
      <c r="K231" s="13">
        <f t="shared" si="182"/>
        <v>3312256.4936129274</v>
      </c>
      <c r="L231" s="13">
        <f t="shared" si="182"/>
        <v>3393156.6183659555</v>
      </c>
      <c r="M231" s="13">
        <f t="shared" si="182"/>
        <v>3480803.435331184</v>
      </c>
      <c r="N231" s="13">
        <f t="shared" si="182"/>
        <v>3569298.8352082693</v>
      </c>
      <c r="O231" s="13">
        <f t="shared" si="182"/>
        <v>3658668.4179845671</v>
      </c>
      <c r="P231" s="13">
        <f t="shared" si="182"/>
        <v>3754861.5153040541</v>
      </c>
      <c r="Q231" s="3"/>
      <c r="R231" s="3"/>
      <c r="S231" s="3"/>
    </row>
    <row r="232" spans="1:19" customFormat="1" ht="12.75" customHeight="1" x14ac:dyDescent="0.25">
      <c r="A232" s="62"/>
      <c r="B232" s="22" t="s">
        <v>234</v>
      </c>
      <c r="C232" s="22"/>
      <c r="D232" s="22"/>
      <c r="E232" s="30">
        <f>E98</f>
        <v>2608111.98</v>
      </c>
      <c r="F232" s="30">
        <f t="shared" ref="F232:I232" si="183">F98</f>
        <v>2635357</v>
      </c>
      <c r="G232" s="154">
        <f t="shared" si="183"/>
        <v>2761857.7703458201</v>
      </c>
      <c r="H232" s="30">
        <f t="shared" si="183"/>
        <v>2866198.2703458201</v>
      </c>
      <c r="I232" s="30">
        <f t="shared" si="183"/>
        <v>2947914.3403458199</v>
      </c>
      <c r="J232" s="30">
        <f t="shared" ref="J232:P232" si="184">J98</f>
        <v>3032077.38994582</v>
      </c>
      <c r="K232" s="30">
        <f t="shared" si="184"/>
        <v>3118760.97103382</v>
      </c>
      <c r="L232" s="30">
        <f t="shared" si="184"/>
        <v>3208040.8420544602</v>
      </c>
      <c r="M232" s="30">
        <f t="shared" si="184"/>
        <v>3299995.0342057198</v>
      </c>
      <c r="N232" s="30">
        <f t="shared" si="184"/>
        <v>3394703.919621517</v>
      </c>
      <c r="O232" s="30">
        <f t="shared" si="184"/>
        <v>3492250.281599788</v>
      </c>
      <c r="P232" s="30">
        <f t="shared" si="184"/>
        <v>3592719.3869374068</v>
      </c>
      <c r="Q232" s="3"/>
      <c r="R232" s="3"/>
      <c r="S232" s="3"/>
    </row>
    <row r="233" spans="1:19" customFormat="1" ht="12.75" customHeight="1" x14ac:dyDescent="0.25">
      <c r="A233" s="62"/>
      <c r="B233" s="3" t="s">
        <v>239</v>
      </c>
      <c r="C233" s="3"/>
      <c r="D233" s="3"/>
      <c r="E233" s="13">
        <f t="shared" ref="E233:I233" si="185">E231-E232</f>
        <v>-766905.95632500015</v>
      </c>
      <c r="F233" s="13">
        <f t="shared" si="185"/>
        <v>-784118.26545000006</v>
      </c>
      <c r="G233" s="153">
        <f t="shared" si="185"/>
        <v>71589.496945179533</v>
      </c>
      <c r="H233" s="13">
        <f t="shared" si="185"/>
        <v>208062.4095771797</v>
      </c>
      <c r="I233" s="13">
        <f t="shared" si="185"/>
        <v>204917.27048168005</v>
      </c>
      <c r="J233" s="13">
        <f t="shared" ref="J233:P233" si="186">J231-J232</f>
        <v>200078.57702592527</v>
      </c>
      <c r="K233" s="13">
        <f t="shared" si="186"/>
        <v>193495.52257910743</v>
      </c>
      <c r="L233" s="13">
        <f t="shared" si="186"/>
        <v>185115.77631149534</v>
      </c>
      <c r="M233" s="13">
        <f t="shared" si="186"/>
        <v>180808.40112546412</v>
      </c>
      <c r="N233" s="13">
        <f t="shared" si="186"/>
        <v>174594.91558675235</v>
      </c>
      <c r="O233" s="13">
        <f t="shared" si="186"/>
        <v>166418.13638477912</v>
      </c>
      <c r="P233" s="13">
        <f t="shared" si="186"/>
        <v>162142.12836664729</v>
      </c>
      <c r="Q233" s="196"/>
      <c r="R233" s="3"/>
      <c r="S233" s="3"/>
    </row>
    <row r="234" spans="1:19" customFormat="1" ht="12.75" customHeight="1" x14ac:dyDescent="0.25">
      <c r="A234" s="62"/>
      <c r="B234" s="3" t="s">
        <v>240</v>
      </c>
      <c r="C234" s="3"/>
      <c r="D234" s="3"/>
      <c r="E234" s="38">
        <f t="shared" ref="E234:I234" si="187">IF(E232&gt;0,E233/E232,0)</f>
        <v>-0.29404640682836025</v>
      </c>
      <c r="F234" s="38">
        <f t="shared" si="187"/>
        <v>-0.29753777778494528</v>
      </c>
      <c r="G234" s="161">
        <f t="shared" si="187"/>
        <v>2.592077612172462E-2</v>
      </c>
      <c r="H234" s="38">
        <f t="shared" si="187"/>
        <v>7.2591771382262402E-2</v>
      </c>
      <c r="I234" s="38">
        <f t="shared" si="187"/>
        <v>6.951262717411294E-2</v>
      </c>
      <c r="J234" s="38">
        <f t="shared" ref="J234:P234" si="188">IF(J232&gt;0,J233/J232,0)</f>
        <v>6.5987292306381562E-2</v>
      </c>
      <c r="K234" s="38">
        <f t="shared" si="188"/>
        <v>6.2042434279587229E-2</v>
      </c>
      <c r="L234" s="38">
        <f t="shared" si="188"/>
        <v>5.770368440600819E-2</v>
      </c>
      <c r="M234" s="38">
        <f t="shared" si="188"/>
        <v>5.4790507031469864E-2</v>
      </c>
      <c r="N234" s="38">
        <f t="shared" si="188"/>
        <v>5.1431559193597751E-2</v>
      </c>
      <c r="O234" s="38">
        <f t="shared" si="188"/>
        <v>4.7653553716242678E-2</v>
      </c>
      <c r="P234" s="38">
        <f t="shared" si="188"/>
        <v>4.5130752197394527E-2</v>
      </c>
      <c r="Q234" s="3"/>
      <c r="R234" s="3"/>
      <c r="S234" s="3"/>
    </row>
    <row r="235" spans="1:19" customFormat="1" ht="12.75" customHeight="1" x14ac:dyDescent="0.25">
      <c r="A235" s="62"/>
      <c r="B235" s="3"/>
      <c r="C235" s="3"/>
      <c r="D235" s="3"/>
      <c r="E235" s="13"/>
      <c r="F235" s="13"/>
      <c r="G235" s="153"/>
      <c r="H235" s="13"/>
      <c r="I235" s="13"/>
      <c r="J235" s="13"/>
      <c r="K235" s="13"/>
      <c r="L235" s="13"/>
      <c r="M235" s="13"/>
      <c r="N235" s="13"/>
      <c r="O235" s="13"/>
      <c r="P235" s="13"/>
      <c r="Q235" s="3"/>
      <c r="R235" s="3"/>
      <c r="S235" s="3"/>
    </row>
    <row r="236" spans="1:19" customFormat="1" ht="12.75" customHeight="1" x14ac:dyDescent="0.25">
      <c r="A236" s="77" t="s">
        <v>242</v>
      </c>
      <c r="B236" s="3"/>
      <c r="C236" s="3"/>
      <c r="D236" s="3"/>
      <c r="E236" s="13"/>
      <c r="F236" s="13"/>
      <c r="G236" s="153"/>
      <c r="H236" s="13"/>
      <c r="I236" s="13"/>
      <c r="J236" s="13"/>
      <c r="K236" s="13"/>
      <c r="L236" s="13"/>
      <c r="M236" s="13"/>
      <c r="N236" s="13"/>
      <c r="O236" s="13"/>
      <c r="P236" s="13"/>
      <c r="Q236" s="3"/>
      <c r="R236" s="3"/>
      <c r="S236" s="3"/>
    </row>
    <row r="237" spans="1:19" customFormat="1" ht="12.75" customHeight="1" x14ac:dyDescent="0.25">
      <c r="A237" s="62"/>
      <c r="B237" s="3" t="s">
        <v>238</v>
      </c>
      <c r="C237" s="3"/>
      <c r="D237" s="3"/>
      <c r="E237" s="13">
        <f>E157</f>
        <v>2976850.1858000001</v>
      </c>
      <c r="F237" s="13">
        <f t="shared" ref="F237:I237" si="189">F157</f>
        <v>2973490.4429999995</v>
      </c>
      <c r="G237" s="153">
        <f t="shared" si="189"/>
        <v>3739752.3259000001</v>
      </c>
      <c r="H237" s="13">
        <f t="shared" si="189"/>
        <v>4755820.0820033327</v>
      </c>
      <c r="I237" s="13">
        <f t="shared" si="189"/>
        <v>4755811.8320033327</v>
      </c>
      <c r="J237" s="13">
        <f t="shared" ref="J237:P237" si="190">J157</f>
        <v>4755798.8320033327</v>
      </c>
      <c r="K237" s="13">
        <f t="shared" si="190"/>
        <v>4755781.0820033327</v>
      </c>
      <c r="L237" s="13">
        <f t="shared" si="190"/>
        <v>4755758.5820033327</v>
      </c>
      <c r="M237" s="13">
        <f t="shared" si="190"/>
        <v>4755731.3320033327</v>
      </c>
      <c r="N237" s="13">
        <f t="shared" si="190"/>
        <v>4755699.3320033327</v>
      </c>
      <c r="O237" s="13">
        <f t="shared" si="190"/>
        <v>4755662.5820033327</v>
      </c>
      <c r="P237" s="13">
        <f t="shared" si="190"/>
        <v>4755621.0820033327</v>
      </c>
      <c r="Q237" s="3"/>
      <c r="R237" s="196"/>
      <c r="S237" s="3"/>
    </row>
    <row r="238" spans="1:19" customFormat="1" ht="12.75" customHeight="1" x14ac:dyDescent="0.25">
      <c r="A238" s="62"/>
      <c r="B238" s="22" t="s">
        <v>234</v>
      </c>
      <c r="C238" s="22"/>
      <c r="D238" s="22"/>
      <c r="E238" s="30">
        <f>E171</f>
        <v>2372612.98</v>
      </c>
      <c r="F238" s="30">
        <f t="shared" ref="F238:I238" si="191">F171</f>
        <v>2404830</v>
      </c>
      <c r="G238" s="154">
        <f t="shared" si="191"/>
        <v>2729483.871518</v>
      </c>
      <c r="H238" s="30">
        <f t="shared" si="191"/>
        <v>4232309.371518</v>
      </c>
      <c r="I238" s="30">
        <f t="shared" si="191"/>
        <v>3312669.1089299796</v>
      </c>
      <c r="J238" s="30">
        <f t="shared" ref="J238:P238" si="192">J171</f>
        <v>3745429.0124419602</v>
      </c>
      <c r="K238" s="30">
        <f t="shared" si="192"/>
        <v>3180457.1121249599</v>
      </c>
      <c r="L238" s="30">
        <f t="shared" si="192"/>
        <v>3268031.8372984501</v>
      </c>
      <c r="M238" s="30">
        <f t="shared" si="192"/>
        <v>3358229.7292271452</v>
      </c>
      <c r="N238" s="30">
        <f t="shared" si="192"/>
        <v>3451129.6254137009</v>
      </c>
      <c r="O238" s="30">
        <f t="shared" si="192"/>
        <v>3546812.7284858529</v>
      </c>
      <c r="P238" s="30">
        <f t="shared" si="192"/>
        <v>3645362.6771501699</v>
      </c>
      <c r="Q238" s="3"/>
      <c r="R238" s="3"/>
      <c r="S238" s="3"/>
    </row>
    <row r="239" spans="1:19" customFormat="1" ht="12.75" customHeight="1" x14ac:dyDescent="0.25">
      <c r="A239" s="62"/>
      <c r="B239" s="3" t="s">
        <v>239</v>
      </c>
      <c r="C239" s="3"/>
      <c r="D239" s="3"/>
      <c r="E239" s="13">
        <f t="shared" ref="E239:I239" si="193">E237-E238</f>
        <v>604237.20580000011</v>
      </c>
      <c r="F239" s="13">
        <f t="shared" si="193"/>
        <v>568660.4429999995</v>
      </c>
      <c r="G239" s="153">
        <f t="shared" si="193"/>
        <v>1010268.454382</v>
      </c>
      <c r="H239" s="13">
        <f t="shared" si="193"/>
        <v>523510.71048533265</v>
      </c>
      <c r="I239" s="13">
        <f t="shared" si="193"/>
        <v>1443142.7230733531</v>
      </c>
      <c r="J239" s="13">
        <f t="shared" ref="J239:P239" si="194">J237-J238</f>
        <v>1010369.8195613725</v>
      </c>
      <c r="K239" s="13">
        <f t="shared" si="194"/>
        <v>1575323.9698783727</v>
      </c>
      <c r="L239" s="13">
        <f t="shared" si="194"/>
        <v>1487726.7447048826</v>
      </c>
      <c r="M239" s="13">
        <f t="shared" si="194"/>
        <v>1397501.6027761875</v>
      </c>
      <c r="N239" s="13">
        <f t="shared" si="194"/>
        <v>1304569.7065896317</v>
      </c>
      <c r="O239" s="13">
        <f t="shared" si="194"/>
        <v>1208849.8535174797</v>
      </c>
      <c r="P239" s="13">
        <f t="shared" si="194"/>
        <v>1110258.4048531628</v>
      </c>
      <c r="Q239" s="196"/>
      <c r="R239" s="3"/>
      <c r="S239" s="3"/>
    </row>
    <row r="240" spans="1:19" customFormat="1" ht="12.75" customHeight="1" x14ac:dyDescent="0.25">
      <c r="A240" s="62"/>
      <c r="B240" s="3" t="s">
        <v>240</v>
      </c>
      <c r="C240" s="3"/>
      <c r="D240" s="3"/>
      <c r="E240" s="38">
        <f t="shared" ref="E240:I240" si="195">IF(E238&gt;0,E239/E238,0)</f>
        <v>0.25467162613263633</v>
      </c>
      <c r="F240" s="38">
        <f t="shared" si="195"/>
        <v>0.23646596349845914</v>
      </c>
      <c r="G240" s="161">
        <f t="shared" si="195"/>
        <v>0.37013168127648255</v>
      </c>
      <c r="H240" s="38">
        <f t="shared" si="195"/>
        <v>0.12369386652317559</v>
      </c>
      <c r="I240" s="38">
        <f t="shared" si="195"/>
        <v>0.43564348735678599</v>
      </c>
      <c r="J240" s="38">
        <f t="shared" ref="J240:P240" si="196">IF(J238&gt;0,J239/J238,0)</f>
        <v>0.26976077138427129</v>
      </c>
      <c r="K240" s="38">
        <f t="shared" si="196"/>
        <v>0.49531369684964904</v>
      </c>
      <c r="L240" s="38">
        <f t="shared" si="196"/>
        <v>0.45523630698002204</v>
      </c>
      <c r="M240" s="38">
        <f t="shared" si="196"/>
        <v>0.41614234744381384</v>
      </c>
      <c r="N240" s="38">
        <f t="shared" si="196"/>
        <v>0.37801237513159119</v>
      </c>
      <c r="O240" s="38">
        <f t="shared" si="196"/>
        <v>0.34082708788336341</v>
      </c>
      <c r="P240" s="38">
        <f t="shared" si="196"/>
        <v>0.30456733751417236</v>
      </c>
      <c r="Q240" s="3"/>
      <c r="R240" s="3"/>
      <c r="S240" s="3"/>
    </row>
    <row r="241" spans="1:19" customFormat="1" ht="12.75" customHeight="1" thickBot="1" x14ac:dyDescent="0.3">
      <c r="A241" s="62"/>
      <c r="B241" s="32"/>
      <c r="C241" s="32"/>
      <c r="D241" s="32"/>
      <c r="E241" s="33"/>
      <c r="F241" s="33"/>
      <c r="G241" s="174"/>
      <c r="H241" s="33"/>
      <c r="I241" s="33"/>
      <c r="J241" s="33"/>
      <c r="K241" s="33"/>
      <c r="L241" s="33"/>
      <c r="M241" s="33"/>
      <c r="N241" s="33"/>
      <c r="O241" s="33"/>
      <c r="P241" s="33"/>
      <c r="Q241" s="3"/>
      <c r="R241" s="3"/>
      <c r="S241" s="3"/>
    </row>
    <row r="242" spans="1:19" customFormat="1" ht="12.75" customHeight="1" thickTop="1" x14ac:dyDescent="0.25">
      <c r="A242" s="77" t="s">
        <v>237</v>
      </c>
      <c r="B242" s="3"/>
      <c r="C242" s="121"/>
      <c r="D242" s="121"/>
      <c r="E242" s="13"/>
      <c r="F242" s="13"/>
      <c r="G242" s="153"/>
      <c r="H242" s="13"/>
      <c r="I242" s="13"/>
      <c r="J242" s="13"/>
      <c r="K242" s="13"/>
      <c r="L242" s="13"/>
      <c r="M242" s="13"/>
      <c r="N242" s="13"/>
      <c r="O242" s="13"/>
      <c r="P242" s="13"/>
      <c r="Q242" s="3"/>
      <c r="R242" s="3"/>
      <c r="S242" s="3"/>
    </row>
    <row r="243" spans="1:19" customFormat="1" ht="12.75" customHeight="1" x14ac:dyDescent="0.25">
      <c r="A243" s="62"/>
      <c r="B243" s="3" t="s">
        <v>238</v>
      </c>
      <c r="C243" s="3"/>
      <c r="D243" s="3"/>
      <c r="E243" s="13">
        <f>E237+E231</f>
        <v>4818056.2094749995</v>
      </c>
      <c r="F243" s="13">
        <f t="shared" ref="F243:I244" si="197">F237+F231</f>
        <v>4824729.1775499992</v>
      </c>
      <c r="G243" s="153">
        <f t="shared" si="197"/>
        <v>6573199.5931909997</v>
      </c>
      <c r="H243" s="13">
        <f t="shared" si="197"/>
        <v>7830080.7619263325</v>
      </c>
      <c r="I243" s="13">
        <f t="shared" si="197"/>
        <v>7908643.4428308327</v>
      </c>
      <c r="J243" s="13">
        <f t="shared" ref="J243:P243" si="198">J237+J231</f>
        <v>7987954.7989750784</v>
      </c>
      <c r="K243" s="13">
        <f t="shared" si="198"/>
        <v>8068037.5756162601</v>
      </c>
      <c r="L243" s="13">
        <f t="shared" si="198"/>
        <v>8148915.2003692882</v>
      </c>
      <c r="M243" s="13">
        <f t="shared" si="198"/>
        <v>8236534.7673345171</v>
      </c>
      <c r="N243" s="13">
        <f t="shared" si="198"/>
        <v>8324998.1672116015</v>
      </c>
      <c r="O243" s="13">
        <f t="shared" si="198"/>
        <v>8414330.9999879003</v>
      </c>
      <c r="P243" s="13">
        <f t="shared" si="198"/>
        <v>8510482.5973073877</v>
      </c>
      <c r="Q243" s="3"/>
      <c r="R243" s="3"/>
      <c r="S243" s="3"/>
    </row>
    <row r="244" spans="1:19" customFormat="1" ht="12.75" customHeight="1" x14ac:dyDescent="0.25">
      <c r="A244" s="16"/>
      <c r="B244" s="22" t="s">
        <v>234</v>
      </c>
      <c r="C244" s="22"/>
      <c r="D244" s="22"/>
      <c r="E244" s="30">
        <f>E238+E232</f>
        <v>4980724.96</v>
      </c>
      <c r="F244" s="30">
        <f t="shared" si="197"/>
        <v>5040187</v>
      </c>
      <c r="G244" s="154">
        <f t="shared" si="197"/>
        <v>5491341.6418638201</v>
      </c>
      <c r="H244" s="30">
        <f t="shared" si="197"/>
        <v>7098507.6418638201</v>
      </c>
      <c r="I244" s="30">
        <f t="shared" si="197"/>
        <v>6260583.4492757991</v>
      </c>
      <c r="J244" s="30">
        <f t="shared" ref="J244:P244" si="199">J238+J232</f>
        <v>6777506.4023877801</v>
      </c>
      <c r="K244" s="30">
        <f t="shared" si="199"/>
        <v>6299218.0831587799</v>
      </c>
      <c r="L244" s="30">
        <f t="shared" si="199"/>
        <v>6476072.6793529103</v>
      </c>
      <c r="M244" s="30">
        <f t="shared" si="199"/>
        <v>6658224.763432865</v>
      </c>
      <c r="N244" s="30">
        <f t="shared" si="199"/>
        <v>6845833.5450352179</v>
      </c>
      <c r="O244" s="30">
        <f t="shared" si="199"/>
        <v>7039063.0100856405</v>
      </c>
      <c r="P244" s="30">
        <f t="shared" si="199"/>
        <v>7238082.0640875772</v>
      </c>
      <c r="Q244" s="3"/>
      <c r="R244" s="3"/>
      <c r="S244" s="3"/>
    </row>
    <row r="245" spans="1:19" customFormat="1" ht="12.75" customHeight="1" x14ac:dyDescent="0.25">
      <c r="A245" s="16"/>
      <c r="B245" s="3" t="s">
        <v>239</v>
      </c>
      <c r="C245" s="3"/>
      <c r="D245" s="3"/>
      <c r="E245" s="13">
        <f t="shared" ref="E245:I245" si="200">E243-E244</f>
        <v>-162668.75052500051</v>
      </c>
      <c r="F245" s="13">
        <f t="shared" si="200"/>
        <v>-215457.82245000079</v>
      </c>
      <c r="G245" s="153">
        <f t="shared" si="200"/>
        <v>1081857.9513271796</v>
      </c>
      <c r="H245" s="13">
        <f t="shared" si="200"/>
        <v>731573.12006251235</v>
      </c>
      <c r="I245" s="13">
        <f t="shared" si="200"/>
        <v>1648059.9935550336</v>
      </c>
      <c r="J245" s="13">
        <f t="shared" ref="J245:P245" si="201">J243-J244</f>
        <v>1210448.3965872983</v>
      </c>
      <c r="K245" s="13">
        <f t="shared" si="201"/>
        <v>1768819.4924574802</v>
      </c>
      <c r="L245" s="13">
        <f t="shared" si="201"/>
        <v>1672842.521016378</v>
      </c>
      <c r="M245" s="13">
        <f t="shared" si="201"/>
        <v>1578310.0039016521</v>
      </c>
      <c r="N245" s="13">
        <f t="shared" si="201"/>
        <v>1479164.6221763836</v>
      </c>
      <c r="O245" s="13">
        <f t="shared" si="201"/>
        <v>1375267.9899022598</v>
      </c>
      <c r="P245" s="13">
        <f t="shared" si="201"/>
        <v>1272400.5332198106</v>
      </c>
      <c r="Q245" s="3"/>
      <c r="R245" s="3"/>
      <c r="S245" s="3"/>
    </row>
    <row r="246" spans="1:19" customFormat="1" ht="12.75" customHeight="1" x14ac:dyDescent="0.25">
      <c r="A246" s="16"/>
      <c r="B246" s="3" t="s">
        <v>240</v>
      </c>
      <c r="C246" s="3"/>
      <c r="D246" s="3"/>
      <c r="E246" s="38">
        <f t="shared" ref="E246:I246" si="202">IF(E244&gt;0,E245/E244,0)</f>
        <v>-3.2659653329863952E-2</v>
      </c>
      <c r="F246" s="38">
        <f t="shared" si="202"/>
        <v>-4.2747981860593823E-2</v>
      </c>
      <c r="G246" s="161">
        <f t="shared" si="202"/>
        <v>0.1970115905882675</v>
      </c>
      <c r="H246" s="38">
        <f t="shared" si="202"/>
        <v>0.10306012995577009</v>
      </c>
      <c r="I246" s="38">
        <f t="shared" si="202"/>
        <v>0.26324383452562639</v>
      </c>
      <c r="J246" s="38">
        <f t="shared" ref="J246:P246" si="203">IF(J244&gt;0,J245/J244,0)</f>
        <v>0.17859789791727024</v>
      </c>
      <c r="K246" s="38">
        <f t="shared" si="203"/>
        <v>0.28079984993478668</v>
      </c>
      <c r="L246" s="38">
        <f t="shared" si="203"/>
        <v>0.25831126422496059</v>
      </c>
      <c r="M246" s="38">
        <f t="shared" si="203"/>
        <v>0.23704666934191973</v>
      </c>
      <c r="N246" s="38">
        <f t="shared" si="203"/>
        <v>0.21606786265627412</v>
      </c>
      <c r="O246" s="38">
        <f t="shared" si="203"/>
        <v>0.19537657042304662</v>
      </c>
      <c r="P246" s="38">
        <f t="shared" si="203"/>
        <v>0.17579249889040982</v>
      </c>
      <c r="Q246" s="3"/>
      <c r="R246" s="3"/>
      <c r="S246" s="3"/>
    </row>
    <row r="247" spans="1:19" customFormat="1" ht="12.75" customHeight="1" thickBot="1" x14ac:dyDescent="0.3">
      <c r="A247" s="14"/>
      <c r="B247" s="7"/>
      <c r="C247" s="7"/>
      <c r="D247" s="7"/>
      <c r="E247" s="15"/>
      <c r="F247" s="15"/>
      <c r="G247" s="155"/>
      <c r="H247" s="15"/>
      <c r="I247" s="15"/>
      <c r="J247" s="15"/>
      <c r="K247" s="15"/>
      <c r="L247" s="15"/>
      <c r="M247" s="15"/>
      <c r="N247" s="15"/>
      <c r="O247" s="15"/>
      <c r="P247" s="15"/>
      <c r="Q247" s="3"/>
      <c r="R247" s="3"/>
      <c r="S247" s="3"/>
    </row>
    <row r="248" spans="1:19" customFormat="1" ht="12.75" customHeight="1" thickBot="1" x14ac:dyDescent="0.3">
      <c r="A248" s="16"/>
      <c r="B248" s="3"/>
      <c r="C248" s="3"/>
      <c r="D248" s="3"/>
      <c r="E248" s="13"/>
      <c r="F248" s="13"/>
      <c r="G248" s="422"/>
      <c r="H248" s="13"/>
      <c r="I248" s="13"/>
      <c r="J248" s="13"/>
      <c r="K248" s="13"/>
      <c r="L248" s="13"/>
      <c r="M248" s="13"/>
      <c r="N248" s="13"/>
      <c r="O248" s="13"/>
      <c r="P248" s="13"/>
      <c r="Q248" s="3"/>
      <c r="R248" s="3"/>
      <c r="S248" s="3"/>
    </row>
    <row r="249" spans="1:19" customFormat="1" ht="12.75" customHeight="1" x14ac:dyDescent="0.25">
      <c r="A249" s="16"/>
      <c r="C249" s="359"/>
      <c r="D249" s="360" t="s">
        <v>118</v>
      </c>
      <c r="E249" s="361"/>
      <c r="F249" s="362"/>
      <c r="G249" s="418"/>
      <c r="H249" s="10"/>
      <c r="I249" s="13"/>
      <c r="J249" s="13"/>
      <c r="K249" s="13"/>
      <c r="L249" s="13"/>
      <c r="M249" s="13"/>
      <c r="N249" s="13"/>
      <c r="O249" s="13"/>
      <c r="P249" s="13"/>
      <c r="Q249" s="3"/>
      <c r="R249" s="3"/>
      <c r="S249" s="3"/>
    </row>
    <row r="250" spans="1:19" customFormat="1" ht="12.75" customHeight="1" x14ac:dyDescent="0.25">
      <c r="A250" s="16"/>
      <c r="C250" s="403"/>
      <c r="D250" s="354" t="s">
        <v>113</v>
      </c>
      <c r="E250" s="355">
        <f>E12-E243</f>
        <v>0</v>
      </c>
      <c r="F250" s="342">
        <f>F12-F243</f>
        <v>0</v>
      </c>
      <c r="G250" s="419">
        <f>G12-G243</f>
        <v>0</v>
      </c>
      <c r="H250" s="10"/>
      <c r="I250" s="13"/>
      <c r="J250" s="13"/>
      <c r="K250" s="13"/>
      <c r="L250" s="13"/>
      <c r="M250" s="13"/>
      <c r="N250" s="13"/>
      <c r="O250" s="13"/>
      <c r="P250" s="13"/>
      <c r="Q250" s="3"/>
      <c r="R250" s="3"/>
      <c r="S250" s="3"/>
    </row>
    <row r="251" spans="1:19" customFormat="1" ht="12.75" customHeight="1" thickBot="1" x14ac:dyDescent="0.3">
      <c r="A251" s="16"/>
      <c r="C251" s="404"/>
      <c r="D251" s="356" t="s">
        <v>114</v>
      </c>
      <c r="E251" s="357">
        <f>E26-E244</f>
        <v>0</v>
      </c>
      <c r="F251" s="358">
        <f>F26-F244</f>
        <v>0</v>
      </c>
      <c r="G251" s="343">
        <f>G26-G244</f>
        <v>0</v>
      </c>
      <c r="H251" s="10"/>
      <c r="I251" s="13"/>
      <c r="J251" s="13"/>
      <c r="K251" s="13"/>
      <c r="L251" s="13"/>
      <c r="M251" s="13"/>
      <c r="N251" s="13"/>
      <c r="O251" s="13"/>
      <c r="P251" s="13"/>
      <c r="Q251" s="3"/>
      <c r="R251" s="3"/>
      <c r="S251" s="3"/>
    </row>
    <row r="252" spans="1:19" customFormat="1" ht="12.75" customHeight="1" x14ac:dyDescent="0.25">
      <c r="A252" s="16"/>
      <c r="B252" s="3"/>
      <c r="C252" s="3"/>
      <c r="D252" s="3"/>
      <c r="E252" s="13"/>
      <c r="F252" s="13"/>
      <c r="G252" s="423"/>
      <c r="H252" s="13"/>
      <c r="I252" s="13"/>
      <c r="J252" s="13"/>
      <c r="K252" s="13"/>
      <c r="L252" s="13"/>
      <c r="M252" s="13"/>
      <c r="N252" s="13"/>
      <c r="O252" s="13"/>
      <c r="P252" s="13"/>
      <c r="Q252" s="3"/>
      <c r="R252" s="3"/>
      <c r="S252" s="3"/>
    </row>
    <row r="253" spans="1:19" customFormat="1" ht="12.75" customHeight="1" x14ac:dyDescent="0.25">
      <c r="A253" s="16"/>
      <c r="B253" s="3"/>
      <c r="C253" s="3"/>
      <c r="D253" s="3"/>
      <c r="E253" s="20"/>
      <c r="F253" s="20"/>
      <c r="G253" s="20"/>
      <c r="H253" s="20"/>
      <c r="I253" s="20"/>
      <c r="J253" s="20"/>
      <c r="K253" s="20"/>
      <c r="L253" s="20"/>
      <c r="M253" s="20"/>
      <c r="N253" s="20"/>
      <c r="O253" s="20"/>
      <c r="P253" s="20"/>
      <c r="Q253" s="3"/>
      <c r="R253" s="3"/>
      <c r="S253" s="3"/>
    </row>
    <row r="254" spans="1:19" customFormat="1" ht="12.75" customHeight="1" x14ac:dyDescent="0.25">
      <c r="A254" s="16"/>
      <c r="B254" s="3"/>
      <c r="C254" s="3"/>
      <c r="D254" s="3"/>
      <c r="E254" s="20"/>
      <c r="F254" s="20"/>
      <c r="G254" s="20"/>
      <c r="H254" s="20"/>
      <c r="I254" s="20"/>
      <c r="J254" s="20"/>
      <c r="K254" s="20"/>
      <c r="L254" s="20"/>
      <c r="M254" s="20"/>
      <c r="N254" s="20"/>
      <c r="O254" s="20"/>
      <c r="P254" s="20"/>
      <c r="Q254" s="3"/>
      <c r="R254" s="3"/>
      <c r="S254" s="3"/>
    </row>
    <row r="255" spans="1:19" customFormat="1" ht="12.75" customHeight="1" x14ac:dyDescent="0.25">
      <c r="A255" s="77" t="s">
        <v>3</v>
      </c>
      <c r="B255" s="3"/>
      <c r="C255" s="6"/>
      <c r="D255" s="6"/>
      <c r="E255" s="3"/>
      <c r="F255" s="3"/>
      <c r="G255" s="3"/>
      <c r="H255" s="3"/>
      <c r="I255" s="3"/>
      <c r="J255" s="3"/>
      <c r="K255" s="3"/>
      <c r="L255" s="3"/>
      <c r="M255" s="3"/>
      <c r="N255" s="3"/>
      <c r="O255" s="3"/>
      <c r="P255" s="3"/>
      <c r="Q255" s="3"/>
      <c r="R255" s="3"/>
      <c r="S255" s="3"/>
    </row>
    <row r="256" spans="1:19" customFormat="1" ht="12.75" customHeight="1" x14ac:dyDescent="0.25">
      <c r="A256" s="77" t="s">
        <v>153</v>
      </c>
      <c r="B256" s="3"/>
      <c r="C256" s="6"/>
      <c r="D256" s="6"/>
      <c r="E256" s="13"/>
      <c r="F256" s="13"/>
      <c r="G256" s="13"/>
      <c r="H256" s="13"/>
      <c r="I256" s="3"/>
      <c r="J256" s="3"/>
      <c r="K256" s="3"/>
      <c r="L256" s="3"/>
      <c r="M256" s="3"/>
      <c r="N256" s="3"/>
      <c r="O256" s="13"/>
      <c r="P256" s="13"/>
      <c r="Q256" s="3"/>
      <c r="R256" s="3"/>
      <c r="S256" s="3"/>
    </row>
    <row r="257" spans="1:19" customFormat="1" ht="12.75" customHeight="1" x14ac:dyDescent="0.25">
      <c r="A257" s="77" t="s">
        <v>55</v>
      </c>
      <c r="B257" s="3"/>
      <c r="C257" s="6"/>
      <c r="D257" s="6"/>
      <c r="E257" s="13"/>
      <c r="F257" s="13"/>
      <c r="G257" s="13"/>
      <c r="H257" s="13"/>
      <c r="I257" s="3"/>
      <c r="J257" s="3"/>
      <c r="K257" s="3"/>
      <c r="L257" s="3"/>
      <c r="M257" s="3"/>
      <c r="N257" s="3"/>
      <c r="O257" s="13"/>
      <c r="P257" s="13"/>
      <c r="Q257" s="3"/>
      <c r="R257" s="3"/>
      <c r="S257" s="3"/>
    </row>
    <row r="258" spans="1:19" customFormat="1" ht="12.75" customHeight="1" thickBot="1" x14ac:dyDescent="0.3">
      <c r="A258" s="78" t="s">
        <v>428</v>
      </c>
      <c r="B258" s="7"/>
      <c r="C258" s="8"/>
      <c r="D258" s="8"/>
      <c r="E258" s="7"/>
      <c r="F258" s="7"/>
      <c r="G258" s="7"/>
      <c r="H258" s="7"/>
      <c r="I258" s="7"/>
      <c r="J258" s="7"/>
      <c r="K258" s="7"/>
      <c r="L258" s="7"/>
      <c r="M258" s="7"/>
      <c r="N258" s="7"/>
      <c r="O258" s="7"/>
      <c r="P258" s="7"/>
      <c r="Q258" s="3"/>
      <c r="R258" s="3"/>
      <c r="S258" s="3"/>
    </row>
    <row r="259" spans="1:19" customFormat="1" ht="12.75" customHeight="1" x14ac:dyDescent="0.25">
      <c r="A259" s="645" t="s">
        <v>215</v>
      </c>
      <c r="B259" s="645"/>
      <c r="C259" s="645"/>
      <c r="D259" s="214"/>
      <c r="E259" s="215">
        <f>Sum!E$5</f>
        <v>2023</v>
      </c>
      <c r="F259" s="215">
        <f>Sum!F$5</f>
        <v>2024</v>
      </c>
      <c r="G259" s="216">
        <f>Sum!G$5</f>
        <v>2025</v>
      </c>
      <c r="H259" s="215">
        <f>Sum!H$5</f>
        <v>2026</v>
      </c>
      <c r="I259" s="215">
        <f>Sum!I$5</f>
        <v>2027</v>
      </c>
      <c r="J259" s="215">
        <f>Sum!J$5</f>
        <v>2028</v>
      </c>
      <c r="K259" s="215">
        <f>Sum!K$5</f>
        <v>2029</v>
      </c>
      <c r="L259" s="215">
        <f>Sum!L$5</f>
        <v>2030</v>
      </c>
      <c r="M259" s="215">
        <f>Sum!M$5</f>
        <v>2031</v>
      </c>
      <c r="N259" s="215">
        <f>Sum!N$5</f>
        <v>2032</v>
      </c>
      <c r="O259" s="215">
        <f>Sum!O$5</f>
        <v>2033</v>
      </c>
      <c r="P259" s="215">
        <f>Sum!P$5</f>
        <v>2034</v>
      </c>
      <c r="Q259" s="3"/>
      <c r="R259" s="3"/>
      <c r="S259" s="3"/>
    </row>
    <row r="260" spans="1:19" customFormat="1" ht="12.75" customHeight="1" x14ac:dyDescent="0.25">
      <c r="A260" s="16"/>
      <c r="B260" s="70"/>
      <c r="C260" s="70"/>
      <c r="D260" s="16"/>
      <c r="E260" s="40"/>
      <c r="F260" s="40"/>
      <c r="G260" s="162"/>
      <c r="H260" s="40"/>
      <c r="I260" s="40"/>
      <c r="J260" s="40"/>
      <c r="K260" s="40"/>
      <c r="L260" s="40"/>
      <c r="M260" s="40"/>
      <c r="N260" s="40"/>
      <c r="O260" s="40"/>
      <c r="P260" s="40"/>
      <c r="Q260" s="3"/>
    </row>
    <row r="261" spans="1:19" customFormat="1" ht="12.75" customHeight="1" x14ac:dyDescent="0.25">
      <c r="A261" s="77" t="s">
        <v>4</v>
      </c>
      <c r="B261" s="16"/>
      <c r="C261" s="16"/>
      <c r="D261" s="16"/>
      <c r="E261" s="54"/>
      <c r="F261" s="66" t="s">
        <v>255</v>
      </c>
      <c r="G261" s="163">
        <v>0.75</v>
      </c>
      <c r="H261" s="66">
        <v>0.1</v>
      </c>
      <c r="I261" s="66">
        <v>0.03</v>
      </c>
      <c r="J261" s="66">
        <v>0.03</v>
      </c>
      <c r="K261" s="66">
        <v>0.03</v>
      </c>
      <c r="L261" s="66">
        <v>0.03</v>
      </c>
      <c r="M261" s="66">
        <v>0.03</v>
      </c>
      <c r="N261" s="66">
        <v>0.03</v>
      </c>
      <c r="O261" s="66">
        <v>0.03</v>
      </c>
      <c r="P261" s="66">
        <v>0.03</v>
      </c>
      <c r="Q261" s="3"/>
    </row>
    <row r="262" spans="1:19" customFormat="1" ht="12.75" customHeight="1" x14ac:dyDescent="0.25">
      <c r="A262" s="77" t="s">
        <v>191</v>
      </c>
      <c r="B262" s="16"/>
      <c r="C262" s="16"/>
      <c r="D262" s="16"/>
      <c r="E262" s="201"/>
      <c r="F262" s="40"/>
      <c r="G262" s="162"/>
      <c r="H262" s="40"/>
      <c r="I262" s="40"/>
      <c r="J262" s="40"/>
      <c r="K262" s="40"/>
      <c r="L262" s="40"/>
      <c r="M262" s="40"/>
      <c r="N262" s="40"/>
      <c r="O262" s="40"/>
      <c r="P262" s="40"/>
      <c r="Q262" s="3"/>
    </row>
    <row r="263" spans="1:19" customFormat="1" ht="12.75" customHeight="1" x14ac:dyDescent="0.25">
      <c r="A263" s="16"/>
      <c r="B263" s="117"/>
      <c r="C263" s="3" t="s">
        <v>223</v>
      </c>
      <c r="D263" s="3"/>
      <c r="E263" s="103">
        <v>4.5</v>
      </c>
      <c r="F263" s="103">
        <v>4.5</v>
      </c>
      <c r="G263" s="164">
        <f t="shared" ref="G263:I268" si="204">F263*(1+G$261)</f>
        <v>7.875</v>
      </c>
      <c r="H263" s="119">
        <f t="shared" si="204"/>
        <v>8.6625000000000014</v>
      </c>
      <c r="I263" s="119">
        <f t="shared" si="204"/>
        <v>8.9223750000000024</v>
      </c>
      <c r="J263" s="119">
        <f t="shared" ref="J263:J270" si="205">I263*(1+J$261)</f>
        <v>9.1900462500000035</v>
      </c>
      <c r="K263" s="119">
        <f t="shared" ref="K263:K270" si="206">J263*(1+K$261)</f>
        <v>9.4657476375000034</v>
      </c>
      <c r="L263" s="119">
        <f t="shared" ref="L263:L270" si="207">K263*(1+L$261)</f>
        <v>9.7497200666250041</v>
      </c>
      <c r="M263" s="119">
        <f t="shared" ref="M263:M270" si="208">L263*(1+M$261)</f>
        <v>10.042211668623754</v>
      </c>
      <c r="N263" s="119">
        <f t="shared" ref="N263:N270" si="209">M263*(1+N$261)</f>
        <v>10.343478018682466</v>
      </c>
      <c r="O263" s="119">
        <f t="shared" ref="O263:O270" si="210">N263*(1+O$261)</f>
        <v>10.653782359242941</v>
      </c>
      <c r="P263" s="119">
        <f t="shared" ref="P263:P270" si="211">O263*(1+P$261)</f>
        <v>10.973395830020229</v>
      </c>
      <c r="Q263" s="3"/>
    </row>
    <row r="264" spans="1:19" customFormat="1" ht="12.75" customHeight="1" x14ac:dyDescent="0.25">
      <c r="A264" s="16"/>
      <c r="B264" s="117"/>
      <c r="C264" s="3" t="s">
        <v>320</v>
      </c>
      <c r="D264" s="3"/>
      <c r="E264" s="103">
        <v>4.5</v>
      </c>
      <c r="F264" s="103">
        <v>4.5</v>
      </c>
      <c r="G264" s="164">
        <f t="shared" si="204"/>
        <v>7.875</v>
      </c>
      <c r="H264" s="119">
        <f t="shared" si="204"/>
        <v>8.6625000000000014</v>
      </c>
      <c r="I264" s="119">
        <f t="shared" si="204"/>
        <v>8.9223750000000024</v>
      </c>
      <c r="J264" s="119">
        <f t="shared" si="205"/>
        <v>9.1900462500000035</v>
      </c>
      <c r="K264" s="119">
        <f t="shared" si="206"/>
        <v>9.4657476375000034</v>
      </c>
      <c r="L264" s="119">
        <f t="shared" si="207"/>
        <v>9.7497200666250041</v>
      </c>
      <c r="M264" s="119">
        <f t="shared" si="208"/>
        <v>10.042211668623754</v>
      </c>
      <c r="N264" s="119">
        <f t="shared" si="209"/>
        <v>10.343478018682466</v>
      </c>
      <c r="O264" s="119">
        <f t="shared" si="210"/>
        <v>10.653782359242941</v>
      </c>
      <c r="P264" s="119">
        <f t="shared" si="211"/>
        <v>10.973395830020229</v>
      </c>
      <c r="Q264" s="3"/>
    </row>
    <row r="265" spans="1:19" customFormat="1" ht="12.75" customHeight="1" x14ac:dyDescent="0.25">
      <c r="A265" s="16"/>
      <c r="B265" s="117"/>
      <c r="C265" s="3" t="s">
        <v>299</v>
      </c>
      <c r="D265" s="3"/>
      <c r="E265" s="103">
        <v>0</v>
      </c>
      <c r="F265" s="103">
        <v>0</v>
      </c>
      <c r="G265" s="164">
        <f t="shared" si="204"/>
        <v>0</v>
      </c>
      <c r="H265" s="119">
        <f t="shared" si="204"/>
        <v>0</v>
      </c>
      <c r="I265" s="119">
        <f t="shared" si="204"/>
        <v>0</v>
      </c>
      <c r="J265" s="119">
        <f t="shared" si="205"/>
        <v>0</v>
      </c>
      <c r="K265" s="119">
        <f t="shared" si="206"/>
        <v>0</v>
      </c>
      <c r="L265" s="119">
        <f t="shared" si="207"/>
        <v>0</v>
      </c>
      <c r="M265" s="119">
        <f t="shared" si="208"/>
        <v>0</v>
      </c>
      <c r="N265" s="119">
        <f t="shared" si="209"/>
        <v>0</v>
      </c>
      <c r="O265" s="119">
        <f t="shared" si="210"/>
        <v>0</v>
      </c>
      <c r="P265" s="119">
        <f t="shared" si="211"/>
        <v>0</v>
      </c>
      <c r="Q265" s="3"/>
    </row>
    <row r="266" spans="1:19" customFormat="1" ht="12.75" customHeight="1" x14ac:dyDescent="0.25">
      <c r="A266" s="16"/>
      <c r="B266" s="117"/>
      <c r="C266" s="3" t="s">
        <v>299</v>
      </c>
      <c r="D266" s="3"/>
      <c r="E266" s="103">
        <v>0</v>
      </c>
      <c r="F266" s="103">
        <v>0</v>
      </c>
      <c r="G266" s="164">
        <f t="shared" si="204"/>
        <v>0</v>
      </c>
      <c r="H266" s="119">
        <f t="shared" si="204"/>
        <v>0</v>
      </c>
      <c r="I266" s="119">
        <f t="shared" si="204"/>
        <v>0</v>
      </c>
      <c r="J266" s="119">
        <f t="shared" si="205"/>
        <v>0</v>
      </c>
      <c r="K266" s="119">
        <f t="shared" si="206"/>
        <v>0</v>
      </c>
      <c r="L266" s="119">
        <f t="shared" si="207"/>
        <v>0</v>
      </c>
      <c r="M266" s="119">
        <f t="shared" si="208"/>
        <v>0</v>
      </c>
      <c r="N266" s="119">
        <f t="shared" si="209"/>
        <v>0</v>
      </c>
      <c r="O266" s="119">
        <f t="shared" si="210"/>
        <v>0</v>
      </c>
      <c r="P266" s="119">
        <f t="shared" si="211"/>
        <v>0</v>
      </c>
      <c r="Q266" s="3"/>
    </row>
    <row r="267" spans="1:19" customFormat="1" ht="12.75" customHeight="1" x14ac:dyDescent="0.25">
      <c r="A267" s="16"/>
      <c r="B267" s="117"/>
      <c r="C267" s="3" t="s">
        <v>299</v>
      </c>
      <c r="D267" s="3"/>
      <c r="E267" s="103">
        <v>0</v>
      </c>
      <c r="F267" s="103">
        <v>0</v>
      </c>
      <c r="G267" s="164">
        <f t="shared" si="204"/>
        <v>0</v>
      </c>
      <c r="H267" s="119">
        <f t="shared" si="204"/>
        <v>0</v>
      </c>
      <c r="I267" s="119">
        <f t="shared" si="204"/>
        <v>0</v>
      </c>
      <c r="J267" s="119">
        <f t="shared" si="205"/>
        <v>0</v>
      </c>
      <c r="K267" s="119">
        <f t="shared" si="206"/>
        <v>0</v>
      </c>
      <c r="L267" s="119">
        <f t="shared" si="207"/>
        <v>0</v>
      </c>
      <c r="M267" s="119">
        <f t="shared" si="208"/>
        <v>0</v>
      </c>
      <c r="N267" s="119">
        <f t="shared" si="209"/>
        <v>0</v>
      </c>
      <c r="O267" s="119">
        <f t="shared" si="210"/>
        <v>0</v>
      </c>
      <c r="P267" s="119">
        <f t="shared" si="211"/>
        <v>0</v>
      </c>
      <c r="Q267" s="3"/>
    </row>
    <row r="268" spans="1:19" customFormat="1" ht="12.75" customHeight="1" x14ac:dyDescent="0.25">
      <c r="A268" s="16"/>
      <c r="B268" s="117"/>
      <c r="C268" s="3" t="s">
        <v>299</v>
      </c>
      <c r="D268" s="3"/>
      <c r="E268" s="103">
        <v>0</v>
      </c>
      <c r="F268" s="103">
        <v>0</v>
      </c>
      <c r="G268" s="164">
        <f t="shared" si="204"/>
        <v>0</v>
      </c>
      <c r="H268" s="119">
        <f t="shared" si="204"/>
        <v>0</v>
      </c>
      <c r="I268" s="119">
        <f t="shared" si="204"/>
        <v>0</v>
      </c>
      <c r="J268" s="119">
        <f t="shared" si="205"/>
        <v>0</v>
      </c>
      <c r="K268" s="119">
        <f t="shared" si="206"/>
        <v>0</v>
      </c>
      <c r="L268" s="119">
        <f t="shared" si="207"/>
        <v>0</v>
      </c>
      <c r="M268" s="119">
        <f t="shared" si="208"/>
        <v>0</v>
      </c>
      <c r="N268" s="119">
        <f t="shared" si="209"/>
        <v>0</v>
      </c>
      <c r="O268" s="119">
        <f t="shared" si="210"/>
        <v>0</v>
      </c>
      <c r="P268" s="119">
        <f t="shared" si="211"/>
        <v>0</v>
      </c>
      <c r="Q268" s="3"/>
    </row>
    <row r="269" spans="1:19" customFormat="1" ht="12.75" customHeight="1" x14ac:dyDescent="0.25">
      <c r="A269" s="16"/>
      <c r="B269" s="117"/>
      <c r="C269" s="3" t="s">
        <v>299</v>
      </c>
      <c r="D269" s="3"/>
      <c r="E269" s="103">
        <v>0</v>
      </c>
      <c r="F269" s="103">
        <v>0</v>
      </c>
      <c r="G269" s="164">
        <f t="shared" ref="G269:I270" si="212">F269*(1+G$261)</f>
        <v>0</v>
      </c>
      <c r="H269" s="119">
        <f t="shared" si="212"/>
        <v>0</v>
      </c>
      <c r="I269" s="119">
        <f t="shared" si="212"/>
        <v>0</v>
      </c>
      <c r="J269" s="119">
        <f t="shared" si="205"/>
        <v>0</v>
      </c>
      <c r="K269" s="119">
        <f t="shared" si="206"/>
        <v>0</v>
      </c>
      <c r="L269" s="119">
        <f t="shared" si="207"/>
        <v>0</v>
      </c>
      <c r="M269" s="119">
        <f t="shared" si="208"/>
        <v>0</v>
      </c>
      <c r="N269" s="119">
        <f t="shared" si="209"/>
        <v>0</v>
      </c>
      <c r="O269" s="119">
        <f t="shared" si="210"/>
        <v>0</v>
      </c>
      <c r="P269" s="119">
        <f t="shared" si="211"/>
        <v>0</v>
      </c>
      <c r="Q269" s="3"/>
    </row>
    <row r="270" spans="1:19" customFormat="1" ht="12.75" customHeight="1" x14ac:dyDescent="0.25">
      <c r="A270" s="16"/>
      <c r="B270" s="117"/>
      <c r="C270" s="3" t="s">
        <v>299</v>
      </c>
      <c r="D270" s="3"/>
      <c r="E270" s="103">
        <v>0</v>
      </c>
      <c r="F270" s="103">
        <v>0</v>
      </c>
      <c r="G270" s="164">
        <f t="shared" si="212"/>
        <v>0</v>
      </c>
      <c r="H270" s="119">
        <f t="shared" si="212"/>
        <v>0</v>
      </c>
      <c r="I270" s="119">
        <f t="shared" si="212"/>
        <v>0</v>
      </c>
      <c r="J270" s="119">
        <f t="shared" si="205"/>
        <v>0</v>
      </c>
      <c r="K270" s="119">
        <f t="shared" si="206"/>
        <v>0</v>
      </c>
      <c r="L270" s="119">
        <f t="shared" si="207"/>
        <v>0</v>
      </c>
      <c r="M270" s="119">
        <f t="shared" si="208"/>
        <v>0</v>
      </c>
      <c r="N270" s="119">
        <f t="shared" si="209"/>
        <v>0</v>
      </c>
      <c r="O270" s="119">
        <f t="shared" si="210"/>
        <v>0</v>
      </c>
      <c r="P270" s="119">
        <f t="shared" si="211"/>
        <v>0</v>
      </c>
      <c r="Q270" s="3"/>
    </row>
    <row r="271" spans="1:19" customFormat="1" ht="12.75" customHeight="1" x14ac:dyDescent="0.25">
      <c r="A271" s="16"/>
      <c r="B271" s="117"/>
      <c r="C271" s="3"/>
      <c r="D271" s="3"/>
      <c r="E271" s="119"/>
      <c r="F271" s="119"/>
      <c r="G271" s="164"/>
      <c r="H271" s="119"/>
      <c r="I271" s="119"/>
      <c r="J271" s="119"/>
      <c r="K271" s="119"/>
      <c r="L271" s="119"/>
      <c r="M271" s="119"/>
      <c r="N271" s="119"/>
      <c r="O271" s="119"/>
      <c r="P271" s="119"/>
      <c r="Q271" s="3"/>
    </row>
    <row r="272" spans="1:19" customFormat="1" ht="12.75" customHeight="1" x14ac:dyDescent="0.25">
      <c r="A272" s="77" t="s">
        <v>0</v>
      </c>
      <c r="B272" s="16"/>
      <c r="C272" s="3"/>
      <c r="D272" s="3"/>
      <c r="E272" s="118"/>
      <c r="F272" s="118"/>
      <c r="G272" s="165"/>
      <c r="H272" s="118"/>
      <c r="I272" s="118"/>
      <c r="J272" s="118"/>
      <c r="K272" s="118"/>
      <c r="L272" s="118"/>
      <c r="M272" s="118"/>
      <c r="N272" s="118"/>
      <c r="O272" s="118"/>
      <c r="P272" s="118"/>
      <c r="Q272" s="3"/>
    </row>
    <row r="273" spans="1:18" customFormat="1" ht="12.75" customHeight="1" x14ac:dyDescent="0.25">
      <c r="A273" s="16"/>
      <c r="B273" s="117"/>
      <c r="C273" s="3" t="s">
        <v>223</v>
      </c>
      <c r="D273" s="3"/>
      <c r="E273" s="103">
        <f>E263*2</f>
        <v>9</v>
      </c>
      <c r="F273" s="103">
        <f t="shared" ref="F273:F274" si="213">F263*2</f>
        <v>9</v>
      </c>
      <c r="G273" s="164">
        <f>F273*(1+G261)</f>
        <v>15.75</v>
      </c>
      <c r="H273" s="119">
        <f t="shared" ref="H273:P273" si="214">G273*(1+H261)</f>
        <v>17.325000000000003</v>
      </c>
      <c r="I273" s="119">
        <f t="shared" si="214"/>
        <v>17.844750000000005</v>
      </c>
      <c r="J273" s="119">
        <f t="shared" si="214"/>
        <v>18.380092500000007</v>
      </c>
      <c r="K273" s="119">
        <f t="shared" si="214"/>
        <v>18.931495275000007</v>
      </c>
      <c r="L273" s="119">
        <f t="shared" si="214"/>
        <v>19.499440133250008</v>
      </c>
      <c r="M273" s="119">
        <f t="shared" si="214"/>
        <v>20.084423337247507</v>
      </c>
      <c r="N273" s="119">
        <f t="shared" si="214"/>
        <v>20.686956037364933</v>
      </c>
      <c r="O273" s="119">
        <f t="shared" si="214"/>
        <v>21.307564718485882</v>
      </c>
      <c r="P273" s="119">
        <f t="shared" si="214"/>
        <v>21.946791660040457</v>
      </c>
      <c r="Q273" s="3"/>
      <c r="R273" s="432" t="s">
        <v>332</v>
      </c>
    </row>
    <row r="274" spans="1:18" customFormat="1" ht="12.75" customHeight="1" x14ac:dyDescent="0.25">
      <c r="A274" s="16"/>
      <c r="B274" s="117"/>
      <c r="C274" s="3" t="s">
        <v>320</v>
      </c>
      <c r="D274" s="3"/>
      <c r="E274" s="103">
        <f t="shared" ref="E274" si="215">E264*2</f>
        <v>9</v>
      </c>
      <c r="F274" s="103">
        <f t="shared" si="213"/>
        <v>9</v>
      </c>
      <c r="G274" s="164">
        <f>F274*(1+G261)</f>
        <v>15.75</v>
      </c>
      <c r="H274" s="119">
        <f t="shared" ref="H274:P274" si="216">G274*(1+H261)</f>
        <v>17.325000000000003</v>
      </c>
      <c r="I274" s="119">
        <f t="shared" si="216"/>
        <v>17.844750000000005</v>
      </c>
      <c r="J274" s="119">
        <f t="shared" si="216"/>
        <v>18.380092500000007</v>
      </c>
      <c r="K274" s="119">
        <f t="shared" si="216"/>
        <v>18.931495275000007</v>
      </c>
      <c r="L274" s="119">
        <f t="shared" si="216"/>
        <v>19.499440133250008</v>
      </c>
      <c r="M274" s="119">
        <f t="shared" si="216"/>
        <v>20.084423337247507</v>
      </c>
      <c r="N274" s="119">
        <f t="shared" si="216"/>
        <v>20.686956037364933</v>
      </c>
      <c r="O274" s="119">
        <f t="shared" si="216"/>
        <v>21.307564718485882</v>
      </c>
      <c r="P274" s="119">
        <f t="shared" si="216"/>
        <v>21.946791660040457</v>
      </c>
      <c r="Q274" s="3"/>
      <c r="R274" s="606">
        <v>1.25</v>
      </c>
    </row>
    <row r="275" spans="1:18" customFormat="1" ht="12.75" customHeight="1" x14ac:dyDescent="0.25">
      <c r="A275" s="16"/>
      <c r="B275" s="117"/>
      <c r="C275" s="3" t="s">
        <v>299</v>
      </c>
      <c r="D275" s="3"/>
      <c r="E275" s="103">
        <f t="shared" ref="E275" si="217">E265</f>
        <v>0</v>
      </c>
      <c r="F275" s="103">
        <f t="shared" ref="F275:F280" si="218">F265</f>
        <v>0</v>
      </c>
      <c r="G275" s="164">
        <f t="shared" ref="G275:I280" si="219">G265*$R$274</f>
        <v>0</v>
      </c>
      <c r="H275" s="119">
        <f t="shared" si="219"/>
        <v>0</v>
      </c>
      <c r="I275" s="119">
        <f t="shared" si="219"/>
        <v>0</v>
      </c>
      <c r="J275" s="119">
        <f t="shared" ref="J275:P275" si="220">J265*$R$274</f>
        <v>0</v>
      </c>
      <c r="K275" s="119">
        <f t="shared" si="220"/>
        <v>0</v>
      </c>
      <c r="L275" s="119">
        <f t="shared" si="220"/>
        <v>0</v>
      </c>
      <c r="M275" s="119">
        <f t="shared" si="220"/>
        <v>0</v>
      </c>
      <c r="N275" s="119">
        <f t="shared" si="220"/>
        <v>0</v>
      </c>
      <c r="O275" s="119">
        <f t="shared" si="220"/>
        <v>0</v>
      </c>
      <c r="P275" s="119">
        <f t="shared" si="220"/>
        <v>0</v>
      </c>
      <c r="Q275" s="3"/>
    </row>
    <row r="276" spans="1:18" customFormat="1" ht="12.75" customHeight="1" x14ac:dyDescent="0.25">
      <c r="A276" s="16"/>
      <c r="B276" s="117"/>
      <c r="C276" s="3" t="s">
        <v>299</v>
      </c>
      <c r="D276" s="3"/>
      <c r="E276" s="103">
        <f t="shared" ref="E276" si="221">E266</f>
        <v>0</v>
      </c>
      <c r="F276" s="103">
        <f t="shared" si="218"/>
        <v>0</v>
      </c>
      <c r="G276" s="164">
        <f t="shared" si="219"/>
        <v>0</v>
      </c>
      <c r="H276" s="119">
        <f t="shared" si="219"/>
        <v>0</v>
      </c>
      <c r="I276" s="119">
        <f t="shared" si="219"/>
        <v>0</v>
      </c>
      <c r="J276" s="119">
        <f t="shared" ref="J276:P276" si="222">J266*$R$274</f>
        <v>0</v>
      </c>
      <c r="K276" s="119">
        <f t="shared" si="222"/>
        <v>0</v>
      </c>
      <c r="L276" s="119">
        <f t="shared" si="222"/>
        <v>0</v>
      </c>
      <c r="M276" s="119">
        <f t="shared" si="222"/>
        <v>0</v>
      </c>
      <c r="N276" s="119">
        <f t="shared" si="222"/>
        <v>0</v>
      </c>
      <c r="O276" s="119">
        <f t="shared" si="222"/>
        <v>0</v>
      </c>
      <c r="P276" s="119">
        <f t="shared" si="222"/>
        <v>0</v>
      </c>
      <c r="Q276" s="3"/>
    </row>
    <row r="277" spans="1:18" customFormat="1" ht="12.75" customHeight="1" x14ac:dyDescent="0.25">
      <c r="A277" s="16"/>
      <c r="B277" s="117"/>
      <c r="C277" s="3" t="s">
        <v>299</v>
      </c>
      <c r="D277" s="3"/>
      <c r="E277" s="103">
        <f t="shared" ref="E277" si="223">E267</f>
        <v>0</v>
      </c>
      <c r="F277" s="103">
        <f t="shared" si="218"/>
        <v>0</v>
      </c>
      <c r="G277" s="164">
        <f t="shared" si="219"/>
        <v>0</v>
      </c>
      <c r="H277" s="119">
        <f t="shared" si="219"/>
        <v>0</v>
      </c>
      <c r="I277" s="119">
        <f t="shared" si="219"/>
        <v>0</v>
      </c>
      <c r="J277" s="119">
        <f t="shared" ref="J277:P277" si="224">J267*$R$274</f>
        <v>0</v>
      </c>
      <c r="K277" s="119">
        <f t="shared" si="224"/>
        <v>0</v>
      </c>
      <c r="L277" s="119">
        <f t="shared" si="224"/>
        <v>0</v>
      </c>
      <c r="M277" s="119">
        <f t="shared" si="224"/>
        <v>0</v>
      </c>
      <c r="N277" s="119">
        <f t="shared" si="224"/>
        <v>0</v>
      </c>
      <c r="O277" s="119">
        <f t="shared" si="224"/>
        <v>0</v>
      </c>
      <c r="P277" s="119">
        <f t="shared" si="224"/>
        <v>0</v>
      </c>
      <c r="Q277" s="3"/>
    </row>
    <row r="278" spans="1:18" customFormat="1" ht="12.75" customHeight="1" x14ac:dyDescent="0.25">
      <c r="A278" s="16"/>
      <c r="B278" s="117"/>
      <c r="C278" s="3" t="s">
        <v>299</v>
      </c>
      <c r="D278" s="3"/>
      <c r="E278" s="103">
        <f t="shared" ref="E278" si="225">E268</f>
        <v>0</v>
      </c>
      <c r="F278" s="103">
        <f t="shared" si="218"/>
        <v>0</v>
      </c>
      <c r="G278" s="164">
        <f t="shared" si="219"/>
        <v>0</v>
      </c>
      <c r="H278" s="119">
        <f t="shared" si="219"/>
        <v>0</v>
      </c>
      <c r="I278" s="119">
        <f t="shared" si="219"/>
        <v>0</v>
      </c>
      <c r="J278" s="119">
        <f t="shared" ref="J278:P278" si="226">J268*$R$274</f>
        <v>0</v>
      </c>
      <c r="K278" s="119">
        <f t="shared" si="226"/>
        <v>0</v>
      </c>
      <c r="L278" s="119">
        <f t="shared" si="226"/>
        <v>0</v>
      </c>
      <c r="M278" s="119">
        <f t="shared" si="226"/>
        <v>0</v>
      </c>
      <c r="N278" s="119">
        <f t="shared" si="226"/>
        <v>0</v>
      </c>
      <c r="O278" s="119">
        <f t="shared" si="226"/>
        <v>0</v>
      </c>
      <c r="P278" s="119">
        <f t="shared" si="226"/>
        <v>0</v>
      </c>
      <c r="Q278" s="3"/>
    </row>
    <row r="279" spans="1:18" customFormat="1" ht="12.75" customHeight="1" x14ac:dyDescent="0.25">
      <c r="A279" s="16"/>
      <c r="B279" s="117"/>
      <c r="C279" s="3" t="s">
        <v>299</v>
      </c>
      <c r="D279" s="3"/>
      <c r="E279" s="103">
        <f t="shared" ref="E279" si="227">E269</f>
        <v>0</v>
      </c>
      <c r="F279" s="103">
        <f t="shared" si="218"/>
        <v>0</v>
      </c>
      <c r="G279" s="164">
        <f t="shared" si="219"/>
        <v>0</v>
      </c>
      <c r="H279" s="119">
        <f t="shared" si="219"/>
        <v>0</v>
      </c>
      <c r="I279" s="119">
        <f t="shared" si="219"/>
        <v>0</v>
      </c>
      <c r="J279" s="119">
        <f t="shared" ref="J279:P279" si="228">J269*$R$274</f>
        <v>0</v>
      </c>
      <c r="K279" s="119">
        <f t="shared" si="228"/>
        <v>0</v>
      </c>
      <c r="L279" s="119">
        <f t="shared" si="228"/>
        <v>0</v>
      </c>
      <c r="M279" s="119">
        <f t="shared" si="228"/>
        <v>0</v>
      </c>
      <c r="N279" s="119">
        <f t="shared" si="228"/>
        <v>0</v>
      </c>
      <c r="O279" s="119">
        <f t="shared" si="228"/>
        <v>0</v>
      </c>
      <c r="P279" s="119">
        <f t="shared" si="228"/>
        <v>0</v>
      </c>
      <c r="Q279" s="3"/>
    </row>
    <row r="280" spans="1:18" customFormat="1" ht="12.75" customHeight="1" x14ac:dyDescent="0.25">
      <c r="A280" s="16"/>
      <c r="B280" s="117"/>
      <c r="C280" s="3" t="s">
        <v>299</v>
      </c>
      <c r="D280" s="3"/>
      <c r="E280" s="103">
        <f t="shared" ref="E280" si="229">E270</f>
        <v>0</v>
      </c>
      <c r="F280" s="103">
        <f t="shared" si="218"/>
        <v>0</v>
      </c>
      <c r="G280" s="164">
        <f t="shared" si="219"/>
        <v>0</v>
      </c>
      <c r="H280" s="119">
        <f t="shared" si="219"/>
        <v>0</v>
      </c>
      <c r="I280" s="119">
        <f t="shared" si="219"/>
        <v>0</v>
      </c>
      <c r="J280" s="119">
        <f t="shared" ref="J280:P280" si="230">J270*$R$274</f>
        <v>0</v>
      </c>
      <c r="K280" s="119">
        <f t="shared" si="230"/>
        <v>0</v>
      </c>
      <c r="L280" s="119">
        <f t="shared" si="230"/>
        <v>0</v>
      </c>
      <c r="M280" s="119">
        <f t="shared" si="230"/>
        <v>0</v>
      </c>
      <c r="N280" s="119">
        <f t="shared" si="230"/>
        <v>0</v>
      </c>
      <c r="O280" s="119">
        <f t="shared" si="230"/>
        <v>0</v>
      </c>
      <c r="P280" s="119">
        <f t="shared" si="230"/>
        <v>0</v>
      </c>
      <c r="Q280" s="3"/>
    </row>
    <row r="281" spans="1:18" customFormat="1" ht="12.75" customHeight="1" thickBot="1" x14ac:dyDescent="0.3">
      <c r="A281" s="16"/>
      <c r="B281" s="117"/>
      <c r="C281" s="3"/>
      <c r="D281" s="3"/>
      <c r="E281" s="119"/>
      <c r="F281" s="119"/>
      <c r="G281" s="164"/>
      <c r="H281" s="119"/>
      <c r="I281" s="119"/>
      <c r="J281" s="119"/>
      <c r="K281" s="119"/>
      <c r="L281" s="119"/>
      <c r="M281" s="119"/>
      <c r="N281" s="119"/>
      <c r="O281" s="119"/>
      <c r="P281" s="119"/>
      <c r="Q281" s="3"/>
    </row>
    <row r="282" spans="1:18" customFormat="1" ht="12.75" customHeight="1" x14ac:dyDescent="0.25">
      <c r="A282" s="656" t="s">
        <v>254</v>
      </c>
      <c r="B282" s="657"/>
      <c r="C282" s="657"/>
      <c r="D282" s="657"/>
      <c r="E282" s="658"/>
      <c r="F282" s="658"/>
      <c r="G282" s="659"/>
      <c r="H282" s="658"/>
      <c r="I282" s="658"/>
      <c r="J282" s="658"/>
      <c r="K282" s="658"/>
      <c r="L282" s="658"/>
      <c r="M282" s="658"/>
      <c r="N282" s="658"/>
      <c r="O282" s="658"/>
      <c r="P282" s="660"/>
      <c r="Q282" s="3"/>
    </row>
    <row r="283" spans="1:18" customFormat="1" ht="12.75" customHeight="1" x14ac:dyDescent="0.25">
      <c r="A283" s="661" t="s">
        <v>191</v>
      </c>
      <c r="B283" s="650"/>
      <c r="C283" s="650"/>
      <c r="D283" s="650"/>
      <c r="E283" s="54"/>
      <c r="F283" s="54"/>
      <c r="G283" s="402"/>
      <c r="H283" s="13"/>
      <c r="I283" s="13"/>
      <c r="J283" s="13"/>
      <c r="K283" s="13"/>
      <c r="L283" s="13"/>
      <c r="M283" s="13"/>
      <c r="N283" s="13"/>
      <c r="O283" s="13"/>
      <c r="P283" s="662"/>
      <c r="Q283" s="3"/>
    </row>
    <row r="284" spans="1:18" customFormat="1" ht="12.75" customHeight="1" x14ac:dyDescent="0.25">
      <c r="A284" s="661" t="s">
        <v>15</v>
      </c>
      <c r="B284" s="651"/>
      <c r="C284" s="652"/>
      <c r="D284" s="652"/>
      <c r="E284" s="1"/>
      <c r="F284" s="249" t="s">
        <v>255</v>
      </c>
      <c r="G284" s="163">
        <f>G261</f>
        <v>0.75</v>
      </c>
      <c r="H284" s="66">
        <f>H261</f>
        <v>0.1</v>
      </c>
      <c r="I284" s="66">
        <f t="shared" ref="I284" si="231">I261</f>
        <v>0.03</v>
      </c>
      <c r="J284" s="66">
        <f t="shared" ref="J284:P284" si="232">J261</f>
        <v>0.03</v>
      </c>
      <c r="K284" s="66">
        <f t="shared" si="232"/>
        <v>0.03</v>
      </c>
      <c r="L284" s="66">
        <f t="shared" si="232"/>
        <v>0.03</v>
      </c>
      <c r="M284" s="66">
        <f t="shared" si="232"/>
        <v>0.03</v>
      </c>
      <c r="N284" s="66">
        <f t="shared" si="232"/>
        <v>0.03</v>
      </c>
      <c r="O284" s="66">
        <f t="shared" si="232"/>
        <v>0.03</v>
      </c>
      <c r="P284" s="663">
        <f t="shared" si="232"/>
        <v>0.03</v>
      </c>
      <c r="Q284" s="13"/>
    </row>
    <row r="285" spans="1:18" customFormat="1" ht="12.75" customHeight="1" thickBot="1" x14ac:dyDescent="0.3">
      <c r="A285" s="664"/>
      <c r="B285" s="653">
        <v>0</v>
      </c>
      <c r="C285" s="654">
        <v>3000</v>
      </c>
      <c r="D285" s="655"/>
      <c r="E285" s="103">
        <v>0</v>
      </c>
      <c r="F285" s="103">
        <v>0</v>
      </c>
      <c r="G285" s="164">
        <f>ROUND(F285*(1+G$284),2)</f>
        <v>0</v>
      </c>
      <c r="H285" s="119">
        <f>ROUND(G285*(1+H$284),2)</f>
        <v>0</v>
      </c>
      <c r="I285" s="119">
        <f>ROUND(H285*(1+I$284),2)</f>
        <v>0</v>
      </c>
      <c r="J285" s="119">
        <f t="shared" ref="J285:P288" si="233">ROUND(I285*(1+J$284),2)</f>
        <v>0</v>
      </c>
      <c r="K285" s="119">
        <f t="shared" si="233"/>
        <v>0</v>
      </c>
      <c r="L285" s="119">
        <f t="shared" si="233"/>
        <v>0</v>
      </c>
      <c r="M285" s="119">
        <f t="shared" si="233"/>
        <v>0</v>
      </c>
      <c r="N285" s="119">
        <f t="shared" si="233"/>
        <v>0</v>
      </c>
      <c r="O285" s="119">
        <f t="shared" si="233"/>
        <v>0</v>
      </c>
      <c r="P285" s="665">
        <f t="shared" si="233"/>
        <v>0</v>
      </c>
      <c r="Q285" s="399"/>
    </row>
    <row r="286" spans="1:18" customFormat="1" ht="12.75" customHeight="1" thickBot="1" x14ac:dyDescent="0.3">
      <c r="A286" s="664"/>
      <c r="B286" s="653">
        <f>C285+1</f>
        <v>3001</v>
      </c>
      <c r="C286" s="654">
        <v>99999999</v>
      </c>
      <c r="D286" s="655"/>
      <c r="E286" s="103">
        <v>1.5</v>
      </c>
      <c r="F286" s="103">
        <v>1.5</v>
      </c>
      <c r="G286" s="640">
        <f t="shared" ref="G286:I288" si="234">ROUND(F286*(1+G$284),2)</f>
        <v>2.63</v>
      </c>
      <c r="H286" s="674">
        <f t="shared" si="234"/>
        <v>2.89</v>
      </c>
      <c r="I286" s="119">
        <f t="shared" si="234"/>
        <v>2.98</v>
      </c>
      <c r="J286" s="119">
        <f t="shared" si="233"/>
        <v>3.07</v>
      </c>
      <c r="K286" s="119">
        <f t="shared" si="233"/>
        <v>3.16</v>
      </c>
      <c r="L286" s="119">
        <f t="shared" si="233"/>
        <v>3.25</v>
      </c>
      <c r="M286" s="119">
        <f t="shared" si="233"/>
        <v>3.35</v>
      </c>
      <c r="N286" s="119">
        <f t="shared" si="233"/>
        <v>3.45</v>
      </c>
      <c r="O286" s="119">
        <f t="shared" si="233"/>
        <v>3.55</v>
      </c>
      <c r="P286" s="665">
        <f t="shared" si="233"/>
        <v>3.66</v>
      </c>
      <c r="Q286" s="399"/>
    </row>
    <row r="287" spans="1:18" customFormat="1" ht="12.75" customHeight="1" x14ac:dyDescent="0.25">
      <c r="A287" s="664"/>
      <c r="B287" s="653"/>
      <c r="C287" s="654"/>
      <c r="D287" s="655"/>
      <c r="E287" s="103"/>
      <c r="F287" s="103"/>
      <c r="G287" s="164">
        <f t="shared" si="234"/>
        <v>0</v>
      </c>
      <c r="H287" s="119">
        <f t="shared" si="234"/>
        <v>0</v>
      </c>
      <c r="I287" s="119">
        <f t="shared" si="234"/>
        <v>0</v>
      </c>
      <c r="J287" s="119">
        <f t="shared" si="233"/>
        <v>0</v>
      </c>
      <c r="K287" s="119">
        <f t="shared" si="233"/>
        <v>0</v>
      </c>
      <c r="L287" s="119">
        <f t="shared" si="233"/>
        <v>0</v>
      </c>
      <c r="M287" s="119">
        <f t="shared" si="233"/>
        <v>0</v>
      </c>
      <c r="N287" s="119">
        <f t="shared" si="233"/>
        <v>0</v>
      </c>
      <c r="O287" s="119">
        <f t="shared" si="233"/>
        <v>0</v>
      </c>
      <c r="P287" s="665">
        <f t="shared" si="233"/>
        <v>0</v>
      </c>
      <c r="Q287" s="399"/>
    </row>
    <row r="288" spans="1:18" customFormat="1" ht="12.75" customHeight="1" x14ac:dyDescent="0.25">
      <c r="A288" s="664"/>
      <c r="B288" s="653"/>
      <c r="C288" s="654"/>
      <c r="D288" s="655"/>
      <c r="E288" s="103"/>
      <c r="F288" s="103"/>
      <c r="G288" s="164">
        <f t="shared" si="234"/>
        <v>0</v>
      </c>
      <c r="H288" s="119">
        <f t="shared" si="234"/>
        <v>0</v>
      </c>
      <c r="I288" s="119">
        <f t="shared" si="234"/>
        <v>0</v>
      </c>
      <c r="J288" s="119">
        <f t="shared" si="233"/>
        <v>0</v>
      </c>
      <c r="K288" s="119">
        <f t="shared" si="233"/>
        <v>0</v>
      </c>
      <c r="L288" s="119">
        <f t="shared" si="233"/>
        <v>0</v>
      </c>
      <c r="M288" s="119">
        <f t="shared" si="233"/>
        <v>0</v>
      </c>
      <c r="N288" s="119">
        <f t="shared" si="233"/>
        <v>0</v>
      </c>
      <c r="O288" s="119">
        <f t="shared" si="233"/>
        <v>0</v>
      </c>
      <c r="P288" s="665">
        <f t="shared" si="233"/>
        <v>0</v>
      </c>
      <c r="Q288" s="399"/>
    </row>
    <row r="289" spans="1:17" customFormat="1" ht="12.75" customHeight="1" x14ac:dyDescent="0.25">
      <c r="A289" s="664"/>
      <c r="B289" s="653"/>
      <c r="C289" s="654"/>
      <c r="D289" s="655"/>
      <c r="E289" s="103"/>
      <c r="F289" s="103"/>
      <c r="G289" s="164"/>
      <c r="H289" s="119"/>
      <c r="I289" s="119"/>
      <c r="J289" s="119"/>
      <c r="K289" s="119"/>
      <c r="L289" s="119"/>
      <c r="M289" s="119"/>
      <c r="N289" s="119"/>
      <c r="O289" s="119"/>
      <c r="P289" s="665"/>
      <c r="Q289" s="399"/>
    </row>
    <row r="290" spans="1:17" customFormat="1" ht="12.75" customHeight="1" x14ac:dyDescent="0.25">
      <c r="A290" s="664"/>
      <c r="B290" s="653"/>
      <c r="C290" s="654"/>
      <c r="D290" s="655"/>
      <c r="E290" s="103"/>
      <c r="F290" s="103"/>
      <c r="G290" s="164"/>
      <c r="H290" s="119"/>
      <c r="I290" s="119"/>
      <c r="J290" s="119"/>
      <c r="K290" s="119"/>
      <c r="L290" s="119"/>
      <c r="M290" s="119"/>
      <c r="N290" s="119"/>
      <c r="O290" s="119"/>
      <c r="P290" s="665"/>
      <c r="Q290" s="399"/>
    </row>
    <row r="291" spans="1:17" customFormat="1" ht="12.75" customHeight="1" thickBot="1" x14ac:dyDescent="0.3">
      <c r="A291" s="666"/>
      <c r="B291" s="667"/>
      <c r="C291" s="668"/>
      <c r="D291" s="669"/>
      <c r="E291" s="670"/>
      <c r="F291" s="670"/>
      <c r="G291" s="671"/>
      <c r="H291" s="672"/>
      <c r="I291" s="672"/>
      <c r="J291" s="672"/>
      <c r="K291" s="672"/>
      <c r="L291" s="672"/>
      <c r="M291" s="672"/>
      <c r="N291" s="672"/>
      <c r="O291" s="672"/>
      <c r="P291" s="673"/>
      <c r="Q291" s="399"/>
    </row>
    <row r="292" spans="1:17" customFormat="1" ht="12.75" customHeight="1" x14ac:dyDescent="0.25">
      <c r="A292" s="16"/>
      <c r="B292" s="315"/>
      <c r="C292" s="315"/>
      <c r="D292" s="2"/>
      <c r="E292" s="1"/>
      <c r="F292" s="1"/>
      <c r="G292" s="166"/>
      <c r="H292" s="1"/>
      <c r="I292" s="1"/>
      <c r="J292" s="1"/>
      <c r="K292" s="1"/>
      <c r="L292" s="1"/>
      <c r="M292" s="1"/>
      <c r="N292" s="1"/>
      <c r="O292" s="1"/>
      <c r="P292" s="1"/>
      <c r="Q292" s="3"/>
    </row>
    <row r="293" spans="1:17" customFormat="1" ht="12.75" customHeight="1" x14ac:dyDescent="0.25">
      <c r="A293" s="84" t="s">
        <v>342</v>
      </c>
      <c r="B293" s="320"/>
      <c r="C293" s="315"/>
      <c r="D293" s="211"/>
      <c r="E293" s="54"/>
      <c r="F293" s="54"/>
      <c r="G293" s="163">
        <f>G284</f>
        <v>0.75</v>
      </c>
      <c r="H293" s="66">
        <f>H284</f>
        <v>0.1</v>
      </c>
      <c r="I293" s="66">
        <f t="shared" ref="I293" si="235">I284</f>
        <v>0.03</v>
      </c>
      <c r="J293" s="66">
        <f t="shared" ref="J293:P293" si="236">J284</f>
        <v>0.03</v>
      </c>
      <c r="K293" s="66">
        <f t="shared" si="236"/>
        <v>0.03</v>
      </c>
      <c r="L293" s="66">
        <f t="shared" si="236"/>
        <v>0.03</v>
      </c>
      <c r="M293" s="66">
        <f t="shared" si="236"/>
        <v>0.03</v>
      </c>
      <c r="N293" s="66">
        <f t="shared" si="236"/>
        <v>0.03</v>
      </c>
      <c r="O293" s="66">
        <f t="shared" si="236"/>
        <v>0.03</v>
      </c>
      <c r="P293" s="66">
        <f t="shared" si="236"/>
        <v>0.03</v>
      </c>
      <c r="Q293" s="3"/>
    </row>
    <row r="294" spans="1:17" customFormat="1" ht="12.75" customHeight="1" x14ac:dyDescent="0.25">
      <c r="A294" s="16"/>
      <c r="B294" s="315">
        <v>0</v>
      </c>
      <c r="C294" s="322">
        <v>3000</v>
      </c>
      <c r="D294" s="2"/>
      <c r="E294" s="103">
        <v>0</v>
      </c>
      <c r="F294" s="103">
        <v>0</v>
      </c>
      <c r="G294" s="164">
        <f>ROUND(F294*(1+G$293),2)</f>
        <v>0</v>
      </c>
      <c r="H294" s="119">
        <f>ROUND(G294*(1+H$293),2)</f>
        <v>0</v>
      </c>
      <c r="I294" s="119">
        <f>ROUND(H294*(1+I$293),2)</f>
        <v>0</v>
      </c>
      <c r="J294" s="119">
        <f t="shared" ref="J294:P297" si="237">ROUND(I294*(1+J$293),2)</f>
        <v>0</v>
      </c>
      <c r="K294" s="119">
        <f t="shared" si="237"/>
        <v>0</v>
      </c>
      <c r="L294" s="119">
        <f t="shared" si="237"/>
        <v>0</v>
      </c>
      <c r="M294" s="119">
        <f t="shared" si="237"/>
        <v>0</v>
      </c>
      <c r="N294" s="119">
        <f t="shared" si="237"/>
        <v>0</v>
      </c>
      <c r="O294" s="119">
        <f t="shared" si="237"/>
        <v>0</v>
      </c>
      <c r="P294" s="119">
        <f t="shared" si="237"/>
        <v>0</v>
      </c>
      <c r="Q294" s="3"/>
    </row>
    <row r="295" spans="1:17" customFormat="1" ht="12.75" customHeight="1" x14ac:dyDescent="0.25">
      <c r="A295" s="16"/>
      <c r="B295" s="315">
        <f>C294+1</f>
        <v>3001</v>
      </c>
      <c r="C295" s="322">
        <v>99999999</v>
      </c>
      <c r="D295" s="2"/>
      <c r="E295" s="103">
        <v>1.5</v>
      </c>
      <c r="F295" s="103">
        <v>1.5</v>
      </c>
      <c r="G295" s="164">
        <f t="shared" ref="G295:G297" si="238">ROUND(F295*(1+G$293),2)</f>
        <v>2.63</v>
      </c>
      <c r="H295" s="119">
        <f t="shared" ref="H295:I295" si="239">ROUND(G295*(1+H$293),2)</f>
        <v>2.89</v>
      </c>
      <c r="I295" s="119">
        <f t="shared" si="239"/>
        <v>2.98</v>
      </c>
      <c r="J295" s="119">
        <f t="shared" si="237"/>
        <v>3.07</v>
      </c>
      <c r="K295" s="119">
        <f t="shared" si="237"/>
        <v>3.16</v>
      </c>
      <c r="L295" s="119">
        <f t="shared" si="237"/>
        <v>3.25</v>
      </c>
      <c r="M295" s="119">
        <f t="shared" si="237"/>
        <v>3.35</v>
      </c>
      <c r="N295" s="119">
        <f t="shared" si="237"/>
        <v>3.45</v>
      </c>
      <c r="O295" s="119">
        <f t="shared" si="237"/>
        <v>3.55</v>
      </c>
      <c r="P295" s="119">
        <f t="shared" si="237"/>
        <v>3.66</v>
      </c>
      <c r="Q295" s="3"/>
    </row>
    <row r="296" spans="1:17" customFormat="1" ht="12.75" customHeight="1" x14ac:dyDescent="0.25">
      <c r="A296" s="16"/>
      <c r="B296" s="315"/>
      <c r="C296" s="322"/>
      <c r="D296" s="2"/>
      <c r="E296" s="103"/>
      <c r="F296" s="103"/>
      <c r="G296" s="164">
        <f t="shared" si="238"/>
        <v>0</v>
      </c>
      <c r="H296" s="119">
        <f t="shared" ref="H296:I296" si="240">ROUND(G296*(1+H$293),2)</f>
        <v>0</v>
      </c>
      <c r="I296" s="119">
        <f t="shared" si="240"/>
        <v>0</v>
      </c>
      <c r="J296" s="119">
        <f t="shared" si="237"/>
        <v>0</v>
      </c>
      <c r="K296" s="119">
        <f t="shared" si="237"/>
        <v>0</v>
      </c>
      <c r="L296" s="119">
        <f t="shared" si="237"/>
        <v>0</v>
      </c>
      <c r="M296" s="119">
        <f t="shared" si="237"/>
        <v>0</v>
      </c>
      <c r="N296" s="119">
        <f t="shared" si="237"/>
        <v>0</v>
      </c>
      <c r="O296" s="119">
        <f t="shared" si="237"/>
        <v>0</v>
      </c>
      <c r="P296" s="119">
        <f t="shared" si="237"/>
        <v>0</v>
      </c>
      <c r="Q296" s="3"/>
    </row>
    <row r="297" spans="1:17" customFormat="1" ht="12.75" customHeight="1" x14ac:dyDescent="0.25">
      <c r="A297" s="16"/>
      <c r="B297" s="315"/>
      <c r="C297" s="322"/>
      <c r="D297" s="2"/>
      <c r="E297" s="103"/>
      <c r="F297" s="103"/>
      <c r="G297" s="164">
        <f t="shared" si="238"/>
        <v>0</v>
      </c>
      <c r="H297" s="119">
        <f t="shared" ref="H297:I297" si="241">ROUND(G297*(1+H$293),2)</f>
        <v>0</v>
      </c>
      <c r="I297" s="119">
        <f t="shared" si="241"/>
        <v>0</v>
      </c>
      <c r="J297" s="119">
        <f t="shared" si="237"/>
        <v>0</v>
      </c>
      <c r="K297" s="119">
        <f t="shared" si="237"/>
        <v>0</v>
      </c>
      <c r="L297" s="119">
        <f t="shared" si="237"/>
        <v>0</v>
      </c>
      <c r="M297" s="119">
        <f t="shared" si="237"/>
        <v>0</v>
      </c>
      <c r="N297" s="119">
        <f t="shared" si="237"/>
        <v>0</v>
      </c>
      <c r="O297" s="119">
        <f t="shared" si="237"/>
        <v>0</v>
      </c>
      <c r="P297" s="119">
        <f t="shared" si="237"/>
        <v>0</v>
      </c>
      <c r="Q297" s="3"/>
    </row>
    <row r="298" spans="1:17" customFormat="1" ht="12.75" customHeight="1" x14ac:dyDescent="0.25">
      <c r="A298" s="16"/>
      <c r="B298" s="315"/>
      <c r="C298" s="322"/>
      <c r="D298" s="2"/>
      <c r="E298" s="103"/>
      <c r="F298" s="103"/>
      <c r="G298" s="164"/>
      <c r="H298" s="119"/>
      <c r="I298" s="119"/>
      <c r="J298" s="119"/>
      <c r="K298" s="119"/>
      <c r="L298" s="119"/>
      <c r="M298" s="119"/>
      <c r="N298" s="119"/>
      <c r="O298" s="119"/>
      <c r="P298" s="119"/>
      <c r="Q298" s="3"/>
    </row>
    <row r="299" spans="1:17" customFormat="1" ht="12.75" customHeight="1" x14ac:dyDescent="0.25">
      <c r="A299" s="17"/>
      <c r="B299" s="316"/>
      <c r="C299" s="323"/>
      <c r="D299" s="122"/>
      <c r="E299" s="104"/>
      <c r="F299" s="104"/>
      <c r="G299" s="250"/>
      <c r="H299" s="69"/>
      <c r="I299" s="69"/>
      <c r="J299" s="69"/>
      <c r="K299" s="69"/>
      <c r="L299" s="69"/>
      <c r="M299" s="69"/>
      <c r="N299" s="69"/>
      <c r="O299" s="69"/>
      <c r="P299" s="69"/>
      <c r="Q299" s="3"/>
    </row>
    <row r="300" spans="1:17" customFormat="1" ht="12.75" customHeight="1" x14ac:dyDescent="0.25">
      <c r="A300" s="16"/>
      <c r="B300" s="315"/>
      <c r="C300" s="315"/>
      <c r="D300" s="2"/>
      <c r="E300" s="1"/>
      <c r="F300" s="1"/>
      <c r="G300" s="166"/>
      <c r="H300" s="1"/>
      <c r="I300" s="1"/>
      <c r="J300" s="1"/>
      <c r="K300" s="1"/>
      <c r="L300" s="1"/>
      <c r="M300" s="1"/>
      <c r="N300" s="1"/>
      <c r="O300" s="1"/>
      <c r="P300" s="1"/>
      <c r="Q300" s="3"/>
    </row>
    <row r="301" spans="1:17" customFormat="1" ht="12.75" customHeight="1" x14ac:dyDescent="0.25">
      <c r="A301" s="84" t="s">
        <v>296</v>
      </c>
      <c r="B301" s="315"/>
      <c r="C301" s="315"/>
      <c r="D301" s="211"/>
      <c r="E301" s="54"/>
      <c r="F301" s="54"/>
      <c r="G301" s="163">
        <f>G293</f>
        <v>0.75</v>
      </c>
      <c r="H301" s="66">
        <f>H293</f>
        <v>0.1</v>
      </c>
      <c r="I301" s="66">
        <f t="shared" ref="I301" si="242">I293</f>
        <v>0.03</v>
      </c>
      <c r="J301" s="66">
        <f t="shared" ref="J301:P301" si="243">J293</f>
        <v>0.03</v>
      </c>
      <c r="K301" s="66">
        <f t="shared" si="243"/>
        <v>0.03</v>
      </c>
      <c r="L301" s="66">
        <f t="shared" si="243"/>
        <v>0.03</v>
      </c>
      <c r="M301" s="66">
        <f t="shared" si="243"/>
        <v>0.03</v>
      </c>
      <c r="N301" s="66">
        <f t="shared" si="243"/>
        <v>0.03</v>
      </c>
      <c r="O301" s="66">
        <f t="shared" si="243"/>
        <v>0.03</v>
      </c>
      <c r="P301" s="66">
        <f t="shared" si="243"/>
        <v>0.03</v>
      </c>
      <c r="Q301" s="3"/>
    </row>
    <row r="302" spans="1:17" customFormat="1" ht="12.75" customHeight="1" x14ac:dyDescent="0.25">
      <c r="A302" s="16"/>
      <c r="B302" s="315">
        <v>0</v>
      </c>
      <c r="C302" s="322">
        <v>99999999</v>
      </c>
      <c r="D302" s="2"/>
      <c r="E302" s="103">
        <v>0</v>
      </c>
      <c r="F302" s="103">
        <v>0</v>
      </c>
      <c r="G302" s="164">
        <f>ROUND(F302*(1+G301),2)</f>
        <v>0</v>
      </c>
      <c r="H302" s="119">
        <f>ROUND(G302*(1+H301),2)</f>
        <v>0</v>
      </c>
      <c r="I302" s="119">
        <f>ROUND(H302*(1+I301),2)</f>
        <v>0</v>
      </c>
      <c r="J302" s="119">
        <f t="shared" ref="J302:P302" si="244">ROUND(I302*(1+J301),2)</f>
        <v>0</v>
      </c>
      <c r="K302" s="119">
        <f t="shared" si="244"/>
        <v>0</v>
      </c>
      <c r="L302" s="119">
        <f t="shared" si="244"/>
        <v>0</v>
      </c>
      <c r="M302" s="119">
        <f t="shared" si="244"/>
        <v>0</v>
      </c>
      <c r="N302" s="119">
        <f t="shared" si="244"/>
        <v>0</v>
      </c>
      <c r="O302" s="119">
        <f t="shared" si="244"/>
        <v>0</v>
      </c>
      <c r="P302" s="119">
        <f t="shared" si="244"/>
        <v>0</v>
      </c>
      <c r="Q302" s="3"/>
    </row>
    <row r="303" spans="1:17" customFormat="1" ht="12.75" customHeight="1" x14ac:dyDescent="0.25">
      <c r="A303" s="16"/>
      <c r="B303" s="315"/>
      <c r="C303" s="322"/>
      <c r="D303" s="2"/>
      <c r="E303" s="103"/>
      <c r="F303" s="103"/>
      <c r="G303" s="164"/>
      <c r="H303" s="119"/>
      <c r="I303" s="119"/>
      <c r="J303" s="119"/>
      <c r="K303" s="119"/>
      <c r="L303" s="119"/>
      <c r="M303" s="119"/>
      <c r="N303" s="119"/>
      <c r="O303" s="119"/>
      <c r="P303" s="119"/>
      <c r="Q303" s="3"/>
    </row>
    <row r="304" spans="1:17" customFormat="1" ht="12.75" customHeight="1" x14ac:dyDescent="0.25">
      <c r="A304" s="16"/>
      <c r="B304" s="315"/>
      <c r="C304" s="322"/>
      <c r="D304" s="2"/>
      <c r="E304" s="103"/>
      <c r="F304" s="103"/>
      <c r="G304" s="164"/>
      <c r="H304" s="119"/>
      <c r="I304" s="119"/>
      <c r="J304" s="119"/>
      <c r="K304" s="119"/>
      <c r="L304" s="119"/>
      <c r="M304" s="119"/>
      <c r="N304" s="119"/>
      <c r="O304" s="119"/>
      <c r="P304" s="119"/>
      <c r="Q304" s="3"/>
    </row>
    <row r="305" spans="1:17" customFormat="1" ht="12.75" customHeight="1" x14ac:dyDescent="0.25">
      <c r="A305" s="16"/>
      <c r="B305" s="315"/>
      <c r="C305" s="322"/>
      <c r="D305" s="2"/>
      <c r="E305" s="103"/>
      <c r="F305" s="103"/>
      <c r="G305" s="164"/>
      <c r="H305" s="119"/>
      <c r="I305" s="119"/>
      <c r="J305" s="119"/>
      <c r="K305" s="119"/>
      <c r="L305" s="119"/>
      <c r="M305" s="119"/>
      <c r="N305" s="119"/>
      <c r="O305" s="119"/>
      <c r="P305" s="119"/>
      <c r="Q305" s="3"/>
    </row>
    <row r="306" spans="1:17" customFormat="1" ht="12.75" customHeight="1" x14ac:dyDescent="0.25">
      <c r="A306" s="16"/>
      <c r="B306" s="315"/>
      <c r="C306" s="322"/>
      <c r="D306" s="2"/>
      <c r="E306" s="103"/>
      <c r="F306" s="103"/>
      <c r="G306" s="164"/>
      <c r="H306" s="119"/>
      <c r="I306" s="119"/>
      <c r="J306" s="119"/>
      <c r="K306" s="119"/>
      <c r="L306" s="119"/>
      <c r="M306" s="119"/>
      <c r="N306" s="119"/>
      <c r="O306" s="119"/>
      <c r="P306" s="119"/>
      <c r="Q306" s="3"/>
    </row>
    <row r="307" spans="1:17" customFormat="1" ht="12.75" customHeight="1" x14ac:dyDescent="0.25">
      <c r="A307" s="17"/>
      <c r="B307" s="316"/>
      <c r="C307" s="323"/>
      <c r="D307" s="122"/>
      <c r="E307" s="104"/>
      <c r="F307" s="104"/>
      <c r="G307" s="250"/>
      <c r="H307" s="69"/>
      <c r="I307" s="69"/>
      <c r="J307" s="69"/>
      <c r="K307" s="69"/>
      <c r="L307" s="69"/>
      <c r="M307" s="69"/>
      <c r="N307" s="69"/>
      <c r="O307" s="69"/>
      <c r="P307" s="69"/>
      <c r="Q307" s="3"/>
    </row>
    <row r="308" spans="1:17" customFormat="1" ht="12.75" customHeight="1" x14ac:dyDescent="0.25">
      <c r="A308" s="16"/>
      <c r="B308" s="315"/>
      <c r="C308" s="315"/>
      <c r="D308" s="2"/>
      <c r="E308" s="1"/>
      <c r="F308" s="1"/>
      <c r="G308" s="166"/>
      <c r="H308" s="1"/>
      <c r="I308" s="1"/>
      <c r="J308" s="1"/>
      <c r="K308" s="1"/>
      <c r="L308" s="1"/>
      <c r="M308" s="1"/>
      <c r="N308" s="1"/>
      <c r="O308" s="1"/>
      <c r="P308" s="1"/>
      <c r="Q308" s="3"/>
    </row>
    <row r="309" spans="1:17" customFormat="1" ht="12.75" customHeight="1" x14ac:dyDescent="0.25">
      <c r="A309" s="84" t="s">
        <v>296</v>
      </c>
      <c r="B309" s="315"/>
      <c r="C309" s="315"/>
      <c r="D309" s="211"/>
      <c r="E309" s="54"/>
      <c r="F309" s="54"/>
      <c r="G309" s="163">
        <f>G284</f>
        <v>0.75</v>
      </c>
      <c r="H309" s="66">
        <f>H284</f>
        <v>0.1</v>
      </c>
      <c r="I309" s="66">
        <f>I$284</f>
        <v>0.03</v>
      </c>
      <c r="J309" s="66">
        <f t="shared" ref="J309:P309" si="245">J$284</f>
        <v>0.03</v>
      </c>
      <c r="K309" s="66">
        <f t="shared" si="245"/>
        <v>0.03</v>
      </c>
      <c r="L309" s="66">
        <f t="shared" si="245"/>
        <v>0.03</v>
      </c>
      <c r="M309" s="66">
        <f t="shared" si="245"/>
        <v>0.03</v>
      </c>
      <c r="N309" s="66">
        <f t="shared" si="245"/>
        <v>0.03</v>
      </c>
      <c r="O309" s="66">
        <f t="shared" si="245"/>
        <v>0.03</v>
      </c>
      <c r="P309" s="66">
        <f t="shared" si="245"/>
        <v>0.03</v>
      </c>
      <c r="Q309" s="3"/>
    </row>
    <row r="310" spans="1:17" customFormat="1" ht="12.75" customHeight="1" x14ac:dyDescent="0.25">
      <c r="A310" s="16"/>
      <c r="B310" s="315">
        <v>0</v>
      </c>
      <c r="C310" s="322">
        <v>99999999</v>
      </c>
      <c r="D310" s="2"/>
      <c r="E310" s="103"/>
      <c r="F310" s="103"/>
      <c r="G310" s="164">
        <f>ROUND(F310*(1+G309),2)</f>
        <v>0</v>
      </c>
      <c r="H310" s="119">
        <f>ROUND(G310*(1+H309),2)</f>
        <v>0</v>
      </c>
      <c r="I310" s="119">
        <f>ROUND(H310*(1+I309),2)</f>
        <v>0</v>
      </c>
      <c r="J310" s="119">
        <f t="shared" ref="J310:P310" si="246">ROUND(I310*(1+J309),2)</f>
        <v>0</v>
      </c>
      <c r="K310" s="119">
        <f t="shared" si="246"/>
        <v>0</v>
      </c>
      <c r="L310" s="119">
        <f t="shared" si="246"/>
        <v>0</v>
      </c>
      <c r="M310" s="119">
        <f t="shared" si="246"/>
        <v>0</v>
      </c>
      <c r="N310" s="119">
        <f t="shared" si="246"/>
        <v>0</v>
      </c>
      <c r="O310" s="119">
        <f t="shared" si="246"/>
        <v>0</v>
      </c>
      <c r="P310" s="119">
        <f t="shared" si="246"/>
        <v>0</v>
      </c>
      <c r="Q310" s="3"/>
    </row>
    <row r="311" spans="1:17" customFormat="1" ht="12.75" customHeight="1" x14ac:dyDescent="0.25">
      <c r="A311" s="16"/>
      <c r="B311" s="315"/>
      <c r="C311" s="322"/>
      <c r="D311" s="2"/>
      <c r="E311" s="103"/>
      <c r="F311" s="103"/>
      <c r="G311" s="164"/>
      <c r="H311" s="119"/>
      <c r="I311" s="119"/>
      <c r="J311" s="119"/>
      <c r="K311" s="119"/>
      <c r="L311" s="119"/>
      <c r="M311" s="119"/>
      <c r="N311" s="119"/>
      <c r="O311" s="119"/>
      <c r="P311" s="119"/>
      <c r="Q311" s="3"/>
    </row>
    <row r="312" spans="1:17" customFormat="1" ht="12.75" customHeight="1" x14ac:dyDescent="0.25">
      <c r="A312" s="16"/>
      <c r="B312" s="315"/>
      <c r="C312" s="322"/>
      <c r="D312" s="2"/>
      <c r="E312" s="103"/>
      <c r="F312" s="103"/>
      <c r="G312" s="164"/>
      <c r="H312" s="119"/>
      <c r="I312" s="119"/>
      <c r="J312" s="119"/>
      <c r="K312" s="119"/>
      <c r="L312" s="119"/>
      <c r="M312" s="119"/>
      <c r="N312" s="119"/>
      <c r="O312" s="119"/>
      <c r="P312" s="119"/>
      <c r="Q312" s="3"/>
    </row>
    <row r="313" spans="1:17" customFormat="1" ht="12.75" customHeight="1" x14ac:dyDescent="0.25">
      <c r="A313" s="16"/>
      <c r="B313" s="315"/>
      <c r="C313" s="322"/>
      <c r="D313" s="2"/>
      <c r="E313" s="103"/>
      <c r="F313" s="103"/>
      <c r="G313" s="164"/>
      <c r="H313" s="119"/>
      <c r="I313" s="119"/>
      <c r="J313" s="119"/>
      <c r="K313" s="119"/>
      <c r="L313" s="119"/>
      <c r="M313" s="119"/>
      <c r="N313" s="119"/>
      <c r="O313" s="119"/>
      <c r="P313" s="119"/>
      <c r="Q313" s="3"/>
    </row>
    <row r="314" spans="1:17" customFormat="1" ht="12.75" customHeight="1" x14ac:dyDescent="0.25">
      <c r="A314" s="16"/>
      <c r="B314" s="315"/>
      <c r="C314" s="322"/>
      <c r="D314" s="2"/>
      <c r="E314" s="103"/>
      <c r="F314" s="103"/>
      <c r="G314" s="164"/>
      <c r="H314" s="119"/>
      <c r="I314" s="119"/>
      <c r="J314" s="119"/>
      <c r="K314" s="119"/>
      <c r="L314" s="119"/>
      <c r="M314" s="119"/>
      <c r="N314" s="119"/>
      <c r="O314" s="119"/>
      <c r="P314" s="119"/>
      <c r="Q314" s="3"/>
    </row>
    <row r="315" spans="1:17" customFormat="1" ht="12.75" customHeight="1" x14ac:dyDescent="0.25">
      <c r="A315" s="17"/>
      <c r="B315" s="316"/>
      <c r="C315" s="323"/>
      <c r="D315" s="122"/>
      <c r="E315" s="104"/>
      <c r="F315" s="104"/>
      <c r="G315" s="250"/>
      <c r="H315" s="69"/>
      <c r="I315" s="69"/>
      <c r="J315" s="69"/>
      <c r="K315" s="69"/>
      <c r="L315" s="69"/>
      <c r="M315" s="69"/>
      <c r="N315" s="69"/>
      <c r="O315" s="69"/>
      <c r="P315" s="69"/>
      <c r="Q315" s="3"/>
    </row>
    <row r="316" spans="1:17" customFormat="1" ht="12.75" customHeight="1" x14ac:dyDescent="0.25">
      <c r="A316" s="16"/>
      <c r="B316" s="315"/>
      <c r="C316" s="315"/>
      <c r="D316" s="2"/>
      <c r="E316" s="1"/>
      <c r="F316" s="1"/>
      <c r="G316" s="166"/>
      <c r="H316" s="1"/>
      <c r="I316" s="379"/>
      <c r="J316" s="379"/>
      <c r="K316" s="379"/>
      <c r="L316" s="379"/>
      <c r="M316" s="379"/>
      <c r="N316" s="379"/>
      <c r="O316" s="379"/>
      <c r="P316" s="379"/>
      <c r="Q316" s="3"/>
    </row>
    <row r="317" spans="1:17" customFormat="1" ht="12.75" customHeight="1" x14ac:dyDescent="0.25">
      <c r="A317" s="77" t="s">
        <v>87</v>
      </c>
      <c r="B317" s="123"/>
      <c r="C317" s="123"/>
      <c r="D317" s="10"/>
      <c r="E317" s="54"/>
      <c r="F317" s="54"/>
      <c r="G317" s="166"/>
      <c r="H317" s="13"/>
      <c r="I317" s="13"/>
      <c r="J317" s="13"/>
      <c r="K317" s="13"/>
      <c r="L317" s="13"/>
      <c r="M317" s="13"/>
      <c r="N317" s="13"/>
      <c r="O317" s="13"/>
      <c r="P317" s="13"/>
      <c r="Q317" s="3"/>
    </row>
    <row r="318" spans="1:17" customFormat="1" ht="12.75" customHeight="1" x14ac:dyDescent="0.25">
      <c r="A318" s="77" t="s">
        <v>15</v>
      </c>
      <c r="B318" s="317"/>
      <c r="C318" s="315"/>
      <c r="D318" s="211"/>
      <c r="E318" s="1"/>
      <c r="F318" s="1"/>
      <c r="G318" s="209"/>
      <c r="Q318" s="3"/>
    </row>
    <row r="319" spans="1:17" customFormat="1" ht="12.75" customHeight="1" x14ac:dyDescent="0.25">
      <c r="A319" s="16"/>
      <c r="B319" s="315">
        <v>0</v>
      </c>
      <c r="C319" s="322">
        <f>C285</f>
        <v>3000</v>
      </c>
      <c r="D319" s="2"/>
      <c r="E319" s="103">
        <v>7.25</v>
      </c>
      <c r="F319" s="103">
        <v>8</v>
      </c>
      <c r="G319" s="164">
        <f t="shared" ref="G319:P319" si="247">F319*(1+G$284)</f>
        <v>14</v>
      </c>
      <c r="H319" s="119">
        <f t="shared" si="247"/>
        <v>15.400000000000002</v>
      </c>
      <c r="I319" s="119">
        <f t="shared" si="247"/>
        <v>15.862000000000002</v>
      </c>
      <c r="J319" s="119">
        <f t="shared" si="247"/>
        <v>16.337860000000003</v>
      </c>
      <c r="K319" s="119">
        <f t="shared" si="247"/>
        <v>16.827995800000004</v>
      </c>
      <c r="L319" s="119">
        <f t="shared" si="247"/>
        <v>17.332835674000005</v>
      </c>
      <c r="M319" s="119">
        <f t="shared" si="247"/>
        <v>17.852820744220004</v>
      </c>
      <c r="N319" s="119">
        <f t="shared" si="247"/>
        <v>18.388405366546603</v>
      </c>
      <c r="O319" s="119">
        <f t="shared" si="247"/>
        <v>18.940057527543001</v>
      </c>
      <c r="P319" s="119">
        <f t="shared" si="247"/>
        <v>19.508259253369292</v>
      </c>
      <c r="Q319" s="3"/>
    </row>
    <row r="320" spans="1:17" customFormat="1" ht="12.75" customHeight="1" x14ac:dyDescent="0.25">
      <c r="A320" s="16"/>
      <c r="B320" s="315"/>
      <c r="C320" s="322"/>
      <c r="D320" s="2"/>
      <c r="E320" s="103"/>
      <c r="F320" s="103"/>
      <c r="G320" s="164">
        <f>F320*(1+G$284)</f>
        <v>0</v>
      </c>
      <c r="H320" s="119">
        <f t="shared" ref="H320:P320" si="248">G320*(1+H$284)</f>
        <v>0</v>
      </c>
      <c r="I320" s="119">
        <f t="shared" si="248"/>
        <v>0</v>
      </c>
      <c r="J320" s="119">
        <f t="shared" si="248"/>
        <v>0</v>
      </c>
      <c r="K320" s="119">
        <f t="shared" si="248"/>
        <v>0</v>
      </c>
      <c r="L320" s="119">
        <f t="shared" si="248"/>
        <v>0</v>
      </c>
      <c r="M320" s="119">
        <f t="shared" si="248"/>
        <v>0</v>
      </c>
      <c r="N320" s="119">
        <f t="shared" si="248"/>
        <v>0</v>
      </c>
      <c r="O320" s="119">
        <f t="shared" si="248"/>
        <v>0</v>
      </c>
      <c r="P320" s="119">
        <f t="shared" si="248"/>
        <v>0</v>
      </c>
      <c r="Q320" s="3"/>
    </row>
    <row r="321" spans="1:17" customFormat="1" ht="12.75" customHeight="1" x14ac:dyDescent="0.25">
      <c r="A321" s="16"/>
      <c r="B321" s="315"/>
      <c r="C321" s="322"/>
      <c r="D321" s="2"/>
      <c r="E321" s="103"/>
      <c r="F321" s="103"/>
      <c r="G321" s="164"/>
      <c r="H321" s="119"/>
      <c r="I321" s="119"/>
      <c r="J321" s="119"/>
      <c r="K321" s="119"/>
      <c r="L321" s="119"/>
      <c r="M321" s="119"/>
      <c r="N321" s="119"/>
      <c r="O321" s="119"/>
      <c r="P321" s="119"/>
      <c r="Q321" s="3"/>
    </row>
    <row r="322" spans="1:17" customFormat="1" ht="12.75" customHeight="1" x14ac:dyDescent="0.25">
      <c r="A322" s="16"/>
      <c r="B322" s="315"/>
      <c r="C322" s="322"/>
      <c r="D322" s="2"/>
      <c r="E322" s="103"/>
      <c r="F322" s="103"/>
      <c r="G322" s="164"/>
      <c r="H322" s="119"/>
      <c r="I322" s="119"/>
      <c r="J322" s="119"/>
      <c r="K322" s="119"/>
      <c r="L322" s="119"/>
      <c r="M322" s="119"/>
      <c r="N322" s="119"/>
      <c r="O322" s="119"/>
      <c r="P322" s="119"/>
      <c r="Q322" s="3"/>
    </row>
    <row r="323" spans="1:17" customFormat="1" ht="12.75" customHeight="1" x14ac:dyDescent="0.25">
      <c r="A323" s="16"/>
      <c r="B323" s="315"/>
      <c r="C323" s="322"/>
      <c r="D323" s="2"/>
      <c r="E323" s="103"/>
      <c r="F323" s="103"/>
      <c r="G323" s="164"/>
      <c r="H323" s="119"/>
      <c r="I323" s="119"/>
      <c r="J323" s="119"/>
      <c r="K323" s="119"/>
      <c r="L323" s="119"/>
      <c r="M323" s="119"/>
      <c r="N323" s="119"/>
      <c r="O323" s="119"/>
      <c r="P323" s="119"/>
      <c r="Q323" s="3"/>
    </row>
    <row r="324" spans="1:17" customFormat="1" ht="12.75" customHeight="1" x14ac:dyDescent="0.25">
      <c r="A324" s="16"/>
      <c r="B324" s="315"/>
      <c r="C324" s="322"/>
      <c r="D324" s="2"/>
      <c r="E324" s="103"/>
      <c r="F324" s="103"/>
      <c r="G324" s="164"/>
      <c r="H324" s="119"/>
      <c r="I324" s="119"/>
      <c r="J324" s="119"/>
      <c r="K324" s="119"/>
      <c r="L324" s="119"/>
      <c r="M324" s="119"/>
      <c r="N324" s="119"/>
      <c r="O324" s="119"/>
      <c r="P324" s="119"/>
      <c r="Q324" s="3"/>
    </row>
    <row r="325" spans="1:17" customFormat="1" ht="12.75" customHeight="1" x14ac:dyDescent="0.25">
      <c r="A325" s="17"/>
      <c r="B325" s="316"/>
      <c r="C325" s="323"/>
      <c r="D325" s="122"/>
      <c r="E325" s="104"/>
      <c r="F325" s="104"/>
      <c r="G325" s="250"/>
      <c r="H325" s="69"/>
      <c r="I325" s="69"/>
      <c r="J325" s="69"/>
      <c r="K325" s="69"/>
      <c r="L325" s="69"/>
      <c r="M325" s="69"/>
      <c r="N325" s="69"/>
      <c r="O325" s="69"/>
      <c r="P325" s="69"/>
      <c r="Q325" s="3"/>
    </row>
    <row r="326" spans="1:17" customFormat="1" ht="12.75" customHeight="1" x14ac:dyDescent="0.25">
      <c r="A326" s="16"/>
      <c r="B326" s="315"/>
      <c r="C326" s="315"/>
      <c r="D326" s="2"/>
      <c r="E326" s="1"/>
      <c r="F326" s="1"/>
      <c r="G326" s="166"/>
      <c r="H326" s="1"/>
      <c r="I326" s="1"/>
      <c r="J326" s="1"/>
      <c r="K326" s="1"/>
      <c r="L326" s="1"/>
      <c r="M326" s="1"/>
      <c r="N326" s="1"/>
      <c r="O326" s="1"/>
      <c r="P326" s="1"/>
      <c r="Q326" s="3"/>
    </row>
    <row r="327" spans="1:17" customFormat="1" ht="12.75" customHeight="1" x14ac:dyDescent="0.25">
      <c r="A327" s="84" t="s">
        <v>342</v>
      </c>
      <c r="B327" s="320"/>
      <c r="C327" s="315"/>
      <c r="D327" s="211"/>
      <c r="E327" s="54"/>
      <c r="F327" s="54"/>
      <c r="G327" s="209"/>
      <c r="Q327" s="3"/>
    </row>
    <row r="328" spans="1:17" customFormat="1" ht="12.75" customHeight="1" x14ac:dyDescent="0.25">
      <c r="A328" s="16"/>
      <c r="B328" s="315">
        <v>0</v>
      </c>
      <c r="C328" s="322">
        <f>C294</f>
        <v>3000</v>
      </c>
      <c r="D328" s="2"/>
      <c r="E328" s="103">
        <v>7.25</v>
      </c>
      <c r="F328" s="103">
        <v>8</v>
      </c>
      <c r="G328" s="164">
        <f t="shared" ref="G328:P328" si="249">F328*(1+G$284)</f>
        <v>14</v>
      </c>
      <c r="H328" s="119">
        <f t="shared" si="249"/>
        <v>15.400000000000002</v>
      </c>
      <c r="I328" s="119">
        <f t="shared" si="249"/>
        <v>15.862000000000002</v>
      </c>
      <c r="J328" s="119">
        <f t="shared" si="249"/>
        <v>16.337860000000003</v>
      </c>
      <c r="K328" s="119">
        <f t="shared" si="249"/>
        <v>16.827995800000004</v>
      </c>
      <c r="L328" s="119">
        <f t="shared" si="249"/>
        <v>17.332835674000005</v>
      </c>
      <c r="M328" s="119">
        <f t="shared" si="249"/>
        <v>17.852820744220004</v>
      </c>
      <c r="N328" s="119">
        <f t="shared" si="249"/>
        <v>18.388405366546603</v>
      </c>
      <c r="O328" s="119">
        <f t="shared" si="249"/>
        <v>18.940057527543001</v>
      </c>
      <c r="P328" s="119">
        <f t="shared" si="249"/>
        <v>19.508259253369292</v>
      </c>
      <c r="Q328" s="3"/>
    </row>
    <row r="329" spans="1:17" customFormat="1" ht="12.75" customHeight="1" x14ac:dyDescent="0.25">
      <c r="A329" s="16"/>
      <c r="B329" s="315"/>
      <c r="C329" s="322"/>
      <c r="D329" s="2"/>
      <c r="E329" s="103"/>
      <c r="F329" s="103"/>
      <c r="G329" s="164">
        <f>F329*(1+G$284)</f>
        <v>0</v>
      </c>
      <c r="H329" s="119">
        <f t="shared" ref="H329:P329" si="250">G329*(1+H$284)</f>
        <v>0</v>
      </c>
      <c r="I329" s="119">
        <f t="shared" si="250"/>
        <v>0</v>
      </c>
      <c r="J329" s="119">
        <f t="shared" si="250"/>
        <v>0</v>
      </c>
      <c r="K329" s="119">
        <f t="shared" si="250"/>
        <v>0</v>
      </c>
      <c r="L329" s="119">
        <f t="shared" si="250"/>
        <v>0</v>
      </c>
      <c r="M329" s="119">
        <f t="shared" si="250"/>
        <v>0</v>
      </c>
      <c r="N329" s="119">
        <f t="shared" si="250"/>
        <v>0</v>
      </c>
      <c r="O329" s="119">
        <f t="shared" si="250"/>
        <v>0</v>
      </c>
      <c r="P329" s="119">
        <f t="shared" si="250"/>
        <v>0</v>
      </c>
      <c r="Q329" s="3"/>
    </row>
    <row r="330" spans="1:17" customFormat="1" ht="12.75" customHeight="1" x14ac:dyDescent="0.25">
      <c r="A330" s="16"/>
      <c r="B330" s="315"/>
      <c r="C330" s="322"/>
      <c r="D330" s="2"/>
      <c r="E330" s="103"/>
      <c r="F330" s="103"/>
      <c r="G330" s="164"/>
      <c r="H330" s="119"/>
      <c r="I330" s="119"/>
      <c r="J330" s="119"/>
      <c r="K330" s="119"/>
      <c r="L330" s="119"/>
      <c r="M330" s="119"/>
      <c r="N330" s="119"/>
      <c r="O330" s="119"/>
      <c r="P330" s="119"/>
      <c r="Q330" s="3"/>
    </row>
    <row r="331" spans="1:17" customFormat="1" ht="12.75" customHeight="1" x14ac:dyDescent="0.25">
      <c r="A331" s="16"/>
      <c r="B331" s="315"/>
      <c r="C331" s="322"/>
      <c r="D331" s="2"/>
      <c r="E331" s="103"/>
      <c r="F331" s="103"/>
      <c r="G331" s="164"/>
      <c r="H331" s="119"/>
      <c r="I331" s="119"/>
      <c r="J331" s="119"/>
      <c r="K331" s="119"/>
      <c r="L331" s="119"/>
      <c r="M331" s="119"/>
      <c r="N331" s="119"/>
      <c r="O331" s="119"/>
      <c r="P331" s="119"/>
      <c r="Q331" s="3"/>
    </row>
    <row r="332" spans="1:17" customFormat="1" ht="12.75" customHeight="1" x14ac:dyDescent="0.25">
      <c r="A332" s="16"/>
      <c r="B332" s="315"/>
      <c r="C332" s="322"/>
      <c r="D332" s="2"/>
      <c r="E332" s="103"/>
      <c r="F332" s="103"/>
      <c r="G332" s="164"/>
      <c r="H332" s="119"/>
      <c r="I332" s="119"/>
      <c r="J332" s="119"/>
      <c r="K332" s="119"/>
      <c r="L332" s="119"/>
      <c r="M332" s="119"/>
      <c r="N332" s="119"/>
      <c r="O332" s="119"/>
      <c r="P332" s="119"/>
      <c r="Q332" s="3"/>
    </row>
    <row r="333" spans="1:17" customFormat="1" ht="12.75" customHeight="1" x14ac:dyDescent="0.25">
      <c r="A333" s="17"/>
      <c r="B333" s="316"/>
      <c r="C333" s="323"/>
      <c r="D333" s="122"/>
      <c r="E333" s="104"/>
      <c r="F333" s="104"/>
      <c r="G333" s="250"/>
      <c r="H333" s="69"/>
      <c r="I333" s="69"/>
      <c r="J333" s="69"/>
      <c r="K333" s="69"/>
      <c r="L333" s="69"/>
      <c r="M333" s="69"/>
      <c r="N333" s="69"/>
      <c r="O333" s="69"/>
      <c r="P333" s="69"/>
      <c r="Q333" s="3"/>
    </row>
    <row r="334" spans="1:17" customFormat="1" ht="12.75" customHeight="1" x14ac:dyDescent="0.25">
      <c r="A334" s="16"/>
      <c r="B334" s="315"/>
      <c r="C334" s="315"/>
      <c r="D334" s="2"/>
      <c r="E334" s="1"/>
      <c r="F334" s="1"/>
      <c r="G334" s="166"/>
      <c r="H334" s="1"/>
      <c r="I334" s="1"/>
      <c r="J334" s="1"/>
      <c r="K334" s="1"/>
      <c r="L334" s="1"/>
      <c r="M334" s="1"/>
      <c r="N334" s="1"/>
      <c r="O334" s="1"/>
      <c r="P334" s="1"/>
      <c r="Q334" s="3"/>
    </row>
    <row r="335" spans="1:17" customFormat="1" ht="12.75" customHeight="1" x14ac:dyDescent="0.25">
      <c r="A335" s="84" t="s">
        <v>296</v>
      </c>
      <c r="B335" s="315"/>
      <c r="C335" s="315"/>
      <c r="D335" s="211"/>
      <c r="E335" s="54"/>
      <c r="F335" s="54"/>
      <c r="G335" s="209"/>
      <c r="Q335" s="3"/>
    </row>
    <row r="336" spans="1:17" customFormat="1" ht="12.75" customHeight="1" x14ac:dyDescent="0.25">
      <c r="A336" s="16"/>
      <c r="B336" s="315">
        <v>0</v>
      </c>
      <c r="C336" s="322">
        <v>99999999</v>
      </c>
      <c r="D336" s="2"/>
      <c r="E336" s="103">
        <v>0</v>
      </c>
      <c r="F336" s="103">
        <v>0</v>
      </c>
      <c r="G336" s="164">
        <f>G302*$R$274</f>
        <v>0</v>
      </c>
      <c r="H336" s="119">
        <f>H302*$R$274</f>
        <v>0</v>
      </c>
      <c r="I336" s="119">
        <f>I302*$R$274</f>
        <v>0</v>
      </c>
      <c r="J336" s="119">
        <f t="shared" ref="J336:P336" si="251">J302*$R$274</f>
        <v>0</v>
      </c>
      <c r="K336" s="119">
        <f t="shared" si="251"/>
        <v>0</v>
      </c>
      <c r="L336" s="119">
        <f t="shared" si="251"/>
        <v>0</v>
      </c>
      <c r="M336" s="119">
        <f t="shared" si="251"/>
        <v>0</v>
      </c>
      <c r="N336" s="119">
        <f t="shared" si="251"/>
        <v>0</v>
      </c>
      <c r="O336" s="119">
        <f t="shared" si="251"/>
        <v>0</v>
      </c>
      <c r="P336" s="119">
        <f t="shared" si="251"/>
        <v>0</v>
      </c>
      <c r="Q336" s="3"/>
    </row>
    <row r="337" spans="1:17" customFormat="1" ht="12.75" customHeight="1" x14ac:dyDescent="0.25">
      <c r="A337" s="16"/>
      <c r="B337" s="315"/>
      <c r="C337" s="322"/>
      <c r="D337" s="2"/>
      <c r="E337" s="103"/>
      <c r="F337" s="103"/>
      <c r="G337" s="164"/>
      <c r="H337" s="119"/>
      <c r="I337" s="119"/>
      <c r="J337" s="119"/>
      <c r="K337" s="119"/>
      <c r="L337" s="119"/>
      <c r="M337" s="119"/>
      <c r="N337" s="119"/>
      <c r="O337" s="119"/>
      <c r="P337" s="119"/>
      <c r="Q337" s="3"/>
    </row>
    <row r="338" spans="1:17" customFormat="1" ht="12.75" customHeight="1" x14ac:dyDescent="0.25">
      <c r="A338" s="16"/>
      <c r="B338" s="315"/>
      <c r="C338" s="322"/>
      <c r="D338" s="2"/>
      <c r="E338" s="103"/>
      <c r="F338" s="103"/>
      <c r="G338" s="164"/>
      <c r="H338" s="119"/>
      <c r="I338" s="119"/>
      <c r="J338" s="119"/>
      <c r="K338" s="119"/>
      <c r="L338" s="119"/>
      <c r="M338" s="119"/>
      <c r="N338" s="119"/>
      <c r="O338" s="119"/>
      <c r="P338" s="119"/>
      <c r="Q338" s="3"/>
    </row>
    <row r="339" spans="1:17" customFormat="1" ht="12.75" customHeight="1" x14ac:dyDescent="0.25">
      <c r="A339" s="16"/>
      <c r="B339" s="315"/>
      <c r="C339" s="322"/>
      <c r="D339" s="2"/>
      <c r="E339" s="103"/>
      <c r="F339" s="103"/>
      <c r="G339" s="164"/>
      <c r="H339" s="119"/>
      <c r="I339" s="119"/>
      <c r="J339" s="119"/>
      <c r="K339" s="119"/>
      <c r="L339" s="119"/>
      <c r="M339" s="119"/>
      <c r="N339" s="119"/>
      <c r="O339" s="119"/>
      <c r="P339" s="119"/>
      <c r="Q339" s="3"/>
    </row>
    <row r="340" spans="1:17" customFormat="1" ht="12.75" customHeight="1" x14ac:dyDescent="0.25">
      <c r="A340" s="16"/>
      <c r="B340" s="315"/>
      <c r="C340" s="322"/>
      <c r="D340" s="2"/>
      <c r="E340" s="103"/>
      <c r="F340" s="103"/>
      <c r="G340" s="164"/>
      <c r="H340" s="119"/>
      <c r="I340" s="119"/>
      <c r="J340" s="119"/>
      <c r="K340" s="119"/>
      <c r="L340" s="119"/>
      <c r="M340" s="119"/>
      <c r="N340" s="119"/>
      <c r="O340" s="119"/>
      <c r="P340" s="119"/>
      <c r="Q340" s="3"/>
    </row>
    <row r="341" spans="1:17" customFormat="1" ht="12.75" customHeight="1" x14ac:dyDescent="0.25">
      <c r="A341" s="17"/>
      <c r="B341" s="316"/>
      <c r="C341" s="323"/>
      <c r="D341" s="122"/>
      <c r="E341" s="104"/>
      <c r="F341" s="104"/>
      <c r="G341" s="250"/>
      <c r="H341" s="69"/>
      <c r="I341" s="69"/>
      <c r="J341" s="69"/>
      <c r="K341" s="69"/>
      <c r="L341" s="69"/>
      <c r="M341" s="69"/>
      <c r="N341" s="69"/>
      <c r="O341" s="69"/>
      <c r="P341" s="69"/>
      <c r="Q341" s="3"/>
    </row>
    <row r="342" spans="1:17" customFormat="1" ht="12.75" customHeight="1" x14ac:dyDescent="0.25">
      <c r="A342" s="16"/>
      <c r="B342" s="315"/>
      <c r="C342" s="315"/>
      <c r="D342" s="2"/>
      <c r="E342" s="1"/>
      <c r="F342" s="1"/>
      <c r="G342" s="166"/>
      <c r="H342" s="1"/>
      <c r="I342" s="1"/>
      <c r="J342" s="1"/>
      <c r="K342" s="1"/>
      <c r="L342" s="1"/>
      <c r="M342" s="1"/>
      <c r="N342" s="1"/>
      <c r="O342" s="1"/>
      <c r="P342" s="1"/>
      <c r="Q342" s="3"/>
    </row>
    <row r="343" spans="1:17" customFormat="1" ht="12.75" customHeight="1" x14ac:dyDescent="0.25">
      <c r="A343" s="84" t="s">
        <v>296</v>
      </c>
      <c r="B343" s="315"/>
      <c r="C343" s="315"/>
      <c r="D343" s="211"/>
      <c r="E343" s="54"/>
      <c r="F343" s="54"/>
      <c r="G343" s="209"/>
      <c r="Q343" s="3"/>
    </row>
    <row r="344" spans="1:17" customFormat="1" ht="12.75" customHeight="1" x14ac:dyDescent="0.25">
      <c r="A344" s="16"/>
      <c r="B344" s="315">
        <v>0</v>
      </c>
      <c r="C344" s="322">
        <v>99999999</v>
      </c>
      <c r="D344" s="2"/>
      <c r="E344" s="103"/>
      <c r="F344" s="103"/>
      <c r="G344" s="164">
        <f>G310*$R$274</f>
        <v>0</v>
      </c>
      <c r="H344" s="119">
        <f>H310*$R$274</f>
        <v>0</v>
      </c>
      <c r="I344" s="119">
        <f>I310*$R$274</f>
        <v>0</v>
      </c>
      <c r="J344" s="119">
        <f t="shared" ref="J344:P344" si="252">J310*$R$274</f>
        <v>0</v>
      </c>
      <c r="K344" s="119">
        <f t="shared" si="252"/>
        <v>0</v>
      </c>
      <c r="L344" s="119">
        <f t="shared" si="252"/>
        <v>0</v>
      </c>
      <c r="M344" s="119">
        <f t="shared" si="252"/>
        <v>0</v>
      </c>
      <c r="N344" s="119">
        <f t="shared" si="252"/>
        <v>0</v>
      </c>
      <c r="O344" s="119">
        <f t="shared" si="252"/>
        <v>0</v>
      </c>
      <c r="P344" s="119">
        <f t="shared" si="252"/>
        <v>0</v>
      </c>
      <c r="Q344" s="3"/>
    </row>
    <row r="345" spans="1:17" customFormat="1" ht="12.75" customHeight="1" x14ac:dyDescent="0.25">
      <c r="A345" s="16"/>
      <c r="B345" s="315"/>
      <c r="C345" s="322"/>
      <c r="D345" s="2"/>
      <c r="E345" s="103"/>
      <c r="F345" s="103"/>
      <c r="G345" s="164"/>
      <c r="H345" s="119"/>
      <c r="I345" s="119"/>
      <c r="J345" s="119"/>
      <c r="K345" s="119"/>
      <c r="L345" s="119"/>
      <c r="M345" s="119"/>
      <c r="N345" s="119"/>
      <c r="O345" s="119"/>
      <c r="P345" s="119"/>
      <c r="Q345" s="3"/>
    </row>
    <row r="346" spans="1:17" customFormat="1" ht="12.75" customHeight="1" x14ac:dyDescent="0.25">
      <c r="A346" s="16"/>
      <c r="B346" s="315"/>
      <c r="C346" s="322"/>
      <c r="D346" s="2"/>
      <c r="E346" s="103"/>
      <c r="F346" s="103"/>
      <c r="G346" s="164"/>
      <c r="H346" s="119"/>
      <c r="I346" s="119"/>
      <c r="J346" s="119"/>
      <c r="K346" s="119"/>
      <c r="L346" s="119"/>
      <c r="M346" s="119"/>
      <c r="N346" s="119"/>
      <c r="O346" s="119"/>
      <c r="P346" s="119"/>
      <c r="Q346" s="3"/>
    </row>
    <row r="347" spans="1:17" customFormat="1" ht="12.75" customHeight="1" x14ac:dyDescent="0.25">
      <c r="A347" s="16"/>
      <c r="B347" s="315"/>
      <c r="C347" s="322"/>
      <c r="D347" s="2"/>
      <c r="E347" s="103"/>
      <c r="F347" s="103"/>
      <c r="G347" s="164"/>
      <c r="H347" s="119"/>
      <c r="I347" s="119"/>
      <c r="J347" s="119"/>
      <c r="K347" s="119"/>
      <c r="L347" s="119"/>
      <c r="M347" s="119"/>
      <c r="N347" s="119"/>
      <c r="O347" s="119"/>
      <c r="P347" s="119"/>
      <c r="Q347" s="3"/>
    </row>
    <row r="348" spans="1:17" customFormat="1" ht="12.75" customHeight="1" x14ac:dyDescent="0.25">
      <c r="A348" s="16"/>
      <c r="B348" s="315"/>
      <c r="C348" s="322"/>
      <c r="D348" s="2"/>
      <c r="E348" s="103"/>
      <c r="F348" s="103"/>
      <c r="G348" s="164"/>
      <c r="H348" s="119"/>
      <c r="I348" s="119"/>
      <c r="J348" s="119"/>
      <c r="K348" s="119"/>
      <c r="L348" s="119"/>
      <c r="M348" s="119"/>
      <c r="N348" s="119"/>
      <c r="O348" s="119"/>
      <c r="P348" s="119"/>
      <c r="Q348" s="3"/>
    </row>
    <row r="349" spans="1:17" customFormat="1" ht="12.75" customHeight="1" x14ac:dyDescent="0.25">
      <c r="A349" s="16"/>
      <c r="B349" s="315"/>
      <c r="C349" s="322"/>
      <c r="D349" s="2"/>
      <c r="E349" s="212"/>
      <c r="F349" s="212"/>
      <c r="G349" s="166"/>
      <c r="H349" s="1"/>
      <c r="I349" s="1"/>
      <c r="J349" s="1"/>
      <c r="K349" s="1"/>
      <c r="L349" s="1"/>
      <c r="M349" s="1"/>
      <c r="N349" s="1"/>
      <c r="O349" s="1"/>
      <c r="P349" s="1"/>
      <c r="Q349" s="3"/>
    </row>
    <row r="350" spans="1:17" customFormat="1" ht="12.75" customHeight="1" x14ac:dyDescent="0.25">
      <c r="A350" s="16"/>
      <c r="B350" s="315"/>
      <c r="C350" s="315"/>
      <c r="D350" s="2"/>
      <c r="E350" s="1"/>
      <c r="F350" s="1"/>
      <c r="G350" s="166"/>
      <c r="H350" s="1"/>
      <c r="I350" s="1"/>
      <c r="J350" s="1"/>
      <c r="K350" s="1"/>
      <c r="L350" s="1"/>
      <c r="M350" s="1"/>
      <c r="N350" s="1"/>
      <c r="O350" s="1"/>
      <c r="P350" s="1"/>
      <c r="Q350" s="3"/>
    </row>
    <row r="351" spans="1:17" customFormat="1" ht="12.75" customHeight="1" x14ac:dyDescent="0.25">
      <c r="A351" s="77" t="s">
        <v>108</v>
      </c>
      <c r="B351" s="315"/>
      <c r="C351" s="315"/>
      <c r="D351" s="2"/>
      <c r="E351" s="1"/>
      <c r="F351" s="1"/>
      <c r="G351" s="166"/>
      <c r="H351" s="1"/>
      <c r="I351" s="1"/>
      <c r="J351" s="1"/>
      <c r="K351" s="1"/>
      <c r="L351" s="1"/>
      <c r="M351" s="1"/>
      <c r="N351" s="1"/>
      <c r="O351" s="1"/>
      <c r="P351" s="1"/>
      <c r="Q351" s="3"/>
    </row>
    <row r="352" spans="1:17" customFormat="1" ht="12.75" customHeight="1" x14ac:dyDescent="0.25">
      <c r="A352" s="77" t="s">
        <v>85</v>
      </c>
      <c r="B352" s="315"/>
      <c r="C352" s="315"/>
      <c r="D352" s="2"/>
      <c r="E352" s="1"/>
      <c r="F352" s="1"/>
      <c r="G352" s="163">
        <f>G$284</f>
        <v>0.75</v>
      </c>
      <c r="H352" s="66">
        <f>H$284</f>
        <v>0.1</v>
      </c>
      <c r="I352" s="66">
        <f>I$284</f>
        <v>0.03</v>
      </c>
      <c r="J352" s="66">
        <f t="shared" ref="J352:P352" si="253">J$284</f>
        <v>0.03</v>
      </c>
      <c r="K352" s="66">
        <f t="shared" si="253"/>
        <v>0.03</v>
      </c>
      <c r="L352" s="66">
        <f t="shared" si="253"/>
        <v>0.03</v>
      </c>
      <c r="M352" s="66">
        <f t="shared" si="253"/>
        <v>0.03</v>
      </c>
      <c r="N352" s="66">
        <f t="shared" si="253"/>
        <v>0.03</v>
      </c>
      <c r="O352" s="66">
        <f t="shared" si="253"/>
        <v>0.03</v>
      </c>
      <c r="P352" s="66">
        <f t="shared" si="253"/>
        <v>0.03</v>
      </c>
      <c r="Q352" s="3"/>
    </row>
    <row r="353" spans="1:19" customFormat="1" ht="12.75" customHeight="1" x14ac:dyDescent="0.25">
      <c r="A353" s="77"/>
      <c r="B353" s="315">
        <v>0</v>
      </c>
      <c r="C353" s="322">
        <v>99999999</v>
      </c>
      <c r="D353" s="2"/>
      <c r="E353" s="212"/>
      <c r="F353" s="212"/>
      <c r="G353" s="164">
        <f>ROUND(F353*(1+G352),2)</f>
        <v>0</v>
      </c>
      <c r="H353" s="119">
        <f>ROUND(G353*(1+H352),2)</f>
        <v>0</v>
      </c>
      <c r="I353" s="119">
        <f>ROUND(H353*(1+I352),2)</f>
        <v>0</v>
      </c>
      <c r="J353" s="119">
        <f t="shared" ref="J353:P353" si="254">ROUND(I353*(1+J352),2)</f>
        <v>0</v>
      </c>
      <c r="K353" s="119">
        <f t="shared" si="254"/>
        <v>0</v>
      </c>
      <c r="L353" s="119">
        <f t="shared" si="254"/>
        <v>0</v>
      </c>
      <c r="M353" s="119">
        <f t="shared" si="254"/>
        <v>0</v>
      </c>
      <c r="N353" s="119">
        <f t="shared" si="254"/>
        <v>0</v>
      </c>
      <c r="O353" s="119">
        <f t="shared" si="254"/>
        <v>0</v>
      </c>
      <c r="P353" s="119">
        <f t="shared" si="254"/>
        <v>0</v>
      </c>
      <c r="Q353" s="3"/>
    </row>
    <row r="354" spans="1:19" customFormat="1" ht="12.75" customHeight="1" x14ac:dyDescent="0.25">
      <c r="A354" s="77"/>
      <c r="B354" s="315"/>
      <c r="C354" s="315"/>
      <c r="D354" s="2"/>
      <c r="E354" s="1"/>
      <c r="F354" s="1"/>
      <c r="G354" s="164"/>
      <c r="H354" s="119"/>
      <c r="I354" s="119"/>
      <c r="J354" s="119"/>
      <c r="K354" s="119"/>
      <c r="L354" s="119"/>
      <c r="M354" s="119"/>
      <c r="N354" s="119"/>
      <c r="O354" s="119"/>
      <c r="P354" s="119"/>
      <c r="Q354" s="3"/>
    </row>
    <row r="355" spans="1:19" customFormat="1" ht="12.75" customHeight="1" x14ac:dyDescent="0.25">
      <c r="A355" s="77" t="s">
        <v>107</v>
      </c>
      <c r="B355" s="315"/>
      <c r="C355" s="315"/>
      <c r="D355" s="2"/>
      <c r="E355" s="1"/>
      <c r="F355" s="1"/>
      <c r="G355" s="163">
        <f>G$284</f>
        <v>0.75</v>
      </c>
      <c r="H355" s="66">
        <f>H$284</f>
        <v>0.1</v>
      </c>
      <c r="I355" s="66">
        <f>I$284</f>
        <v>0.03</v>
      </c>
      <c r="J355" s="66">
        <f t="shared" ref="J355:P355" si="255">J$284</f>
        <v>0.03</v>
      </c>
      <c r="K355" s="66">
        <f t="shared" si="255"/>
        <v>0.03</v>
      </c>
      <c r="L355" s="66">
        <f t="shared" si="255"/>
        <v>0.03</v>
      </c>
      <c r="M355" s="66">
        <f t="shared" si="255"/>
        <v>0.03</v>
      </c>
      <c r="N355" s="66">
        <f t="shared" si="255"/>
        <v>0.03</v>
      </c>
      <c r="O355" s="66">
        <f t="shared" si="255"/>
        <v>0.03</v>
      </c>
      <c r="P355" s="66">
        <f t="shared" si="255"/>
        <v>0.03</v>
      </c>
      <c r="Q355" s="3"/>
    </row>
    <row r="356" spans="1:19" customFormat="1" ht="12.75" customHeight="1" x14ac:dyDescent="0.25">
      <c r="A356" s="77" t="s">
        <v>28</v>
      </c>
      <c r="B356" s="315"/>
      <c r="C356" s="315"/>
      <c r="D356" s="2"/>
      <c r="E356" s="1"/>
      <c r="F356" s="1"/>
      <c r="G356" s="170"/>
      <c r="H356" s="54"/>
      <c r="I356" s="54"/>
      <c r="J356" s="54"/>
      <c r="K356" s="54"/>
      <c r="L356" s="54"/>
      <c r="M356" s="54"/>
      <c r="N356" s="54"/>
      <c r="O356" s="54"/>
      <c r="P356" s="54"/>
      <c r="Q356" s="3"/>
    </row>
    <row r="357" spans="1:19" customFormat="1" ht="12.75" customHeight="1" x14ac:dyDescent="0.25">
      <c r="A357" s="77"/>
      <c r="B357" s="315">
        <v>0</v>
      </c>
      <c r="C357" s="322">
        <v>99999999</v>
      </c>
      <c r="D357" s="2"/>
      <c r="E357" s="212"/>
      <c r="F357" s="212"/>
      <c r="G357" s="164">
        <f>ROUND(F357*(1+G355),2)</f>
        <v>0</v>
      </c>
      <c r="H357" s="119">
        <f>ROUND(G357*(1+H355),2)</f>
        <v>0</v>
      </c>
      <c r="I357" s="119">
        <f>ROUND(H357*(1+I355),2)</f>
        <v>0</v>
      </c>
      <c r="J357" s="119">
        <f t="shared" ref="J357:P357" si="256">ROUND(I357*(1+J355),2)</f>
        <v>0</v>
      </c>
      <c r="K357" s="119">
        <f t="shared" si="256"/>
        <v>0</v>
      </c>
      <c r="L357" s="119">
        <f t="shared" si="256"/>
        <v>0</v>
      </c>
      <c r="M357" s="119">
        <f t="shared" si="256"/>
        <v>0</v>
      </c>
      <c r="N357" s="119">
        <f t="shared" si="256"/>
        <v>0</v>
      </c>
      <c r="O357" s="119">
        <f t="shared" si="256"/>
        <v>0</v>
      </c>
      <c r="P357" s="119">
        <f t="shared" si="256"/>
        <v>0</v>
      </c>
      <c r="Q357" s="3"/>
    </row>
    <row r="358" spans="1:19" customFormat="1" ht="12.75" customHeight="1" thickBot="1" x14ac:dyDescent="0.3">
      <c r="A358" s="14"/>
      <c r="B358" s="9"/>
      <c r="C358" s="9"/>
      <c r="D358" s="9"/>
      <c r="E358" s="5"/>
      <c r="F358" s="5"/>
      <c r="G358" s="167"/>
      <c r="H358" s="5"/>
      <c r="I358" s="5"/>
      <c r="J358" s="5"/>
      <c r="K358" s="5"/>
      <c r="L358" s="5"/>
      <c r="M358" s="5"/>
      <c r="N358" s="5"/>
      <c r="O358" s="5"/>
      <c r="P358" s="5"/>
      <c r="Q358" s="3"/>
    </row>
    <row r="359" spans="1:19" customFormat="1" ht="12.75" customHeight="1" x14ac:dyDescent="0.25">
      <c r="A359" s="62"/>
      <c r="B359" s="2"/>
      <c r="C359" s="2"/>
      <c r="D359" s="2"/>
      <c r="E359" s="3"/>
      <c r="F359" s="3"/>
      <c r="G359" s="341"/>
      <c r="H359" s="3"/>
      <c r="I359" s="3"/>
      <c r="J359" s="3"/>
      <c r="K359" s="3"/>
      <c r="L359" s="3"/>
      <c r="M359" s="3"/>
      <c r="N359" s="3"/>
      <c r="O359" s="3"/>
      <c r="P359" s="3"/>
      <c r="Q359" s="3"/>
      <c r="R359" s="3"/>
      <c r="S359" s="3"/>
    </row>
    <row r="360" spans="1:19" customFormat="1" ht="12.75" customHeight="1" x14ac:dyDescent="0.25">
      <c r="A360" s="16"/>
      <c r="B360" s="3"/>
      <c r="C360" s="3"/>
      <c r="D360" s="3"/>
      <c r="E360" s="3"/>
      <c r="F360" s="3"/>
      <c r="G360" s="3"/>
      <c r="H360" s="3"/>
      <c r="I360" s="3"/>
      <c r="J360" s="3"/>
      <c r="K360" s="3"/>
      <c r="L360" s="3"/>
      <c r="M360" s="3"/>
      <c r="N360" s="3"/>
      <c r="O360" s="3"/>
      <c r="P360" s="3"/>
      <c r="Q360" s="3"/>
      <c r="R360" s="3"/>
      <c r="S360" s="3"/>
    </row>
    <row r="361" spans="1:19" customFormat="1" ht="12.75" customHeight="1" x14ac:dyDescent="0.25">
      <c r="A361" s="16"/>
      <c r="B361" s="3"/>
      <c r="C361" s="3"/>
      <c r="D361" s="3"/>
      <c r="E361" s="3"/>
      <c r="F361" s="3"/>
      <c r="G361" s="3"/>
      <c r="H361" s="3"/>
      <c r="I361" s="3"/>
      <c r="J361" s="3"/>
      <c r="K361" s="3"/>
      <c r="L361" s="3"/>
      <c r="M361" s="3"/>
      <c r="N361" s="3"/>
      <c r="O361" s="3"/>
      <c r="P361" s="3"/>
      <c r="Q361" s="3"/>
      <c r="R361" s="3"/>
      <c r="S361" s="3"/>
    </row>
    <row r="362" spans="1:19" customFormat="1" ht="12.75" customHeight="1" x14ac:dyDescent="0.25">
      <c r="A362" s="77" t="s">
        <v>155</v>
      </c>
      <c r="B362" s="3"/>
      <c r="C362" s="6"/>
      <c r="D362" s="6"/>
      <c r="E362" s="3"/>
      <c r="F362" s="3"/>
      <c r="G362" s="3"/>
      <c r="H362" s="3"/>
      <c r="I362" s="3"/>
      <c r="J362" s="3"/>
      <c r="K362" s="3"/>
      <c r="L362" s="3"/>
      <c r="M362" s="3"/>
      <c r="N362" s="3"/>
      <c r="O362" s="3"/>
      <c r="P362" s="3"/>
      <c r="Q362" s="3"/>
      <c r="R362" s="3"/>
      <c r="S362" s="3"/>
    </row>
    <row r="363" spans="1:19" customFormat="1" ht="12.75" customHeight="1" x14ac:dyDescent="0.25">
      <c r="A363" s="77" t="s">
        <v>58</v>
      </c>
      <c r="B363" s="3"/>
      <c r="C363" s="6"/>
      <c r="D363" s="6"/>
      <c r="E363" s="36"/>
      <c r="F363" s="13"/>
      <c r="G363" s="13"/>
      <c r="H363" s="13"/>
      <c r="I363" s="3"/>
      <c r="J363" s="3"/>
      <c r="K363" s="3"/>
      <c r="L363" s="3"/>
      <c r="M363" s="3"/>
      <c r="N363" s="3"/>
      <c r="O363" s="13"/>
      <c r="P363" s="13"/>
      <c r="Q363" s="3"/>
      <c r="R363" s="3"/>
      <c r="S363" s="3"/>
    </row>
    <row r="364" spans="1:19" customFormat="1" ht="12.75" customHeight="1" x14ac:dyDescent="0.25">
      <c r="A364" s="77" t="s">
        <v>57</v>
      </c>
      <c r="B364" s="3"/>
      <c r="C364" s="6"/>
      <c r="D364" s="6"/>
      <c r="E364" s="36"/>
      <c r="F364" s="13"/>
      <c r="G364" s="13"/>
      <c r="H364" s="13"/>
      <c r="I364" s="3"/>
      <c r="J364" s="3"/>
      <c r="K364" s="3"/>
      <c r="L364" s="3"/>
      <c r="M364" s="3"/>
      <c r="N364" s="3"/>
      <c r="O364" s="13"/>
      <c r="P364" s="13"/>
      <c r="Q364" s="3"/>
      <c r="R364" s="3"/>
      <c r="S364" s="3"/>
    </row>
    <row r="365" spans="1:19" customFormat="1" ht="12.75" customHeight="1" thickBot="1" x14ac:dyDescent="0.3">
      <c r="A365" s="78" t="s">
        <v>428</v>
      </c>
      <c r="B365" s="7"/>
      <c r="C365" s="8"/>
      <c r="D365" s="8"/>
      <c r="E365" s="7"/>
      <c r="F365" s="7"/>
      <c r="G365" s="7"/>
      <c r="H365" s="197"/>
      <c r="I365" s="7"/>
      <c r="J365" s="7"/>
      <c r="K365" s="7"/>
      <c r="L365" s="7"/>
      <c r="M365" s="7"/>
      <c r="N365" s="7"/>
      <c r="O365" s="7"/>
      <c r="P365" s="7"/>
      <c r="Q365" s="3"/>
      <c r="R365" s="3"/>
      <c r="S365" s="3"/>
    </row>
    <row r="366" spans="1:19" customFormat="1" ht="12.75" customHeight="1" x14ac:dyDescent="0.25">
      <c r="A366" s="645" t="s">
        <v>215</v>
      </c>
      <c r="B366" s="645"/>
      <c r="C366" s="645"/>
      <c r="D366" s="214"/>
      <c r="E366" s="215">
        <f>Sum!E$5</f>
        <v>2023</v>
      </c>
      <c r="F366" s="215">
        <f>Sum!F$5</f>
        <v>2024</v>
      </c>
      <c r="G366" s="216">
        <f>Sum!G$5</f>
        <v>2025</v>
      </c>
      <c r="H366" s="215">
        <f>Sum!H$5</f>
        <v>2026</v>
      </c>
      <c r="I366" s="215">
        <f>Sum!I$5</f>
        <v>2027</v>
      </c>
      <c r="J366" s="215">
        <f>Sum!J$5</f>
        <v>2028</v>
      </c>
      <c r="K366" s="215">
        <f>Sum!K$5</f>
        <v>2029</v>
      </c>
      <c r="L366" s="215">
        <f>Sum!L$5</f>
        <v>2030</v>
      </c>
      <c r="M366" s="215">
        <f>Sum!M$5</f>
        <v>2031</v>
      </c>
      <c r="N366" s="215">
        <f>Sum!N$5</f>
        <v>2032</v>
      </c>
      <c r="O366" s="215">
        <f>Sum!O$5</f>
        <v>2033</v>
      </c>
      <c r="P366" s="215">
        <f>Sum!P$5</f>
        <v>2034</v>
      </c>
      <c r="Q366" s="3"/>
      <c r="R366" s="3"/>
      <c r="S366" s="3"/>
    </row>
    <row r="367" spans="1:19" customFormat="1" ht="12.75" customHeight="1" x14ac:dyDescent="0.25">
      <c r="A367" s="16"/>
      <c r="B367" s="70"/>
      <c r="C367" s="70"/>
      <c r="D367" s="16"/>
      <c r="E367" s="40"/>
      <c r="F367" s="40"/>
      <c r="G367" s="162"/>
      <c r="H367" s="40"/>
      <c r="I367" s="40"/>
      <c r="J367" s="40"/>
      <c r="K367" s="40"/>
      <c r="L367" s="40"/>
      <c r="M367" s="40"/>
      <c r="N367" s="40"/>
      <c r="O367" s="40"/>
      <c r="P367" s="40"/>
      <c r="Q367" s="3"/>
      <c r="R367" s="3"/>
      <c r="S367" s="3"/>
    </row>
    <row r="368" spans="1:19" customFormat="1" ht="12.75" customHeight="1" x14ac:dyDescent="0.25">
      <c r="A368" s="77" t="s">
        <v>61</v>
      </c>
      <c r="B368" s="117"/>
      <c r="C368" s="3"/>
      <c r="D368" s="3"/>
      <c r="E368" s="54"/>
      <c r="F368" s="54"/>
      <c r="G368" s="163">
        <v>0.3</v>
      </c>
      <c r="H368" s="66">
        <v>0.3</v>
      </c>
      <c r="I368" s="66">
        <v>0</v>
      </c>
      <c r="J368" s="66">
        <v>0</v>
      </c>
      <c r="K368" s="66">
        <v>0</v>
      </c>
      <c r="L368" s="66">
        <v>0</v>
      </c>
      <c r="M368" s="66">
        <v>0</v>
      </c>
      <c r="N368" s="66">
        <v>0</v>
      </c>
      <c r="O368" s="66">
        <v>0</v>
      </c>
      <c r="P368" s="66">
        <v>0</v>
      </c>
      <c r="Q368" s="3" t="s">
        <v>223</v>
      </c>
      <c r="R368" s="3"/>
      <c r="S368" s="3"/>
    </row>
    <row r="369" spans="1:19" customFormat="1" ht="12.75" customHeight="1" x14ac:dyDescent="0.25">
      <c r="A369" s="77" t="s">
        <v>191</v>
      </c>
      <c r="B369" s="117"/>
      <c r="C369" s="3"/>
      <c r="D369" s="3"/>
      <c r="E369" s="54"/>
      <c r="F369" s="54"/>
      <c r="G369" s="163">
        <f>G368</f>
        <v>0.3</v>
      </c>
      <c r="H369" s="66">
        <f>H368</f>
        <v>0.3</v>
      </c>
      <c r="I369" s="66">
        <v>0</v>
      </c>
      <c r="J369" s="66">
        <f t="shared" ref="J369:P369" si="257">J368</f>
        <v>0</v>
      </c>
      <c r="K369" s="66">
        <f t="shared" si="257"/>
        <v>0</v>
      </c>
      <c r="L369" s="66">
        <f t="shared" si="257"/>
        <v>0</v>
      </c>
      <c r="M369" s="66">
        <f t="shared" si="257"/>
        <v>0</v>
      </c>
      <c r="N369" s="66">
        <f t="shared" si="257"/>
        <v>0</v>
      </c>
      <c r="O369" s="66">
        <f t="shared" si="257"/>
        <v>0</v>
      </c>
      <c r="P369" s="66">
        <f t="shared" si="257"/>
        <v>0</v>
      </c>
      <c r="Q369" s="3" t="s">
        <v>320</v>
      </c>
      <c r="R369" s="3"/>
      <c r="S369" s="3"/>
    </row>
    <row r="370" spans="1:19" customFormat="1" ht="12.75" customHeight="1" x14ac:dyDescent="0.25">
      <c r="A370" s="16"/>
      <c r="B370" s="62" t="s">
        <v>216</v>
      </c>
      <c r="C370" s="3"/>
      <c r="D370" s="3"/>
      <c r="E370" s="103">
        <v>12</v>
      </c>
      <c r="F370" s="103">
        <v>12</v>
      </c>
      <c r="G370" s="164">
        <f>F370*(1+G368)</f>
        <v>15.600000000000001</v>
      </c>
      <c r="H370" s="119">
        <f t="shared" ref="H370:I370" si="258">G370*(1+H368)</f>
        <v>20.28</v>
      </c>
      <c r="I370" s="119">
        <f t="shared" si="258"/>
        <v>20.28</v>
      </c>
      <c r="J370" s="119">
        <f t="shared" ref="J370:J371" si="259">I370*(1+J368)</f>
        <v>20.28</v>
      </c>
      <c r="K370" s="119">
        <f t="shared" ref="K370:K371" si="260">J370*(1+K368)</f>
        <v>20.28</v>
      </c>
      <c r="L370" s="119">
        <f t="shared" ref="L370:L371" si="261">K370*(1+L368)</f>
        <v>20.28</v>
      </c>
      <c r="M370" s="119">
        <f t="shared" ref="M370:M371" si="262">L370*(1+M368)</f>
        <v>20.28</v>
      </c>
      <c r="N370" s="119">
        <f t="shared" ref="N370:N371" si="263">M370*(1+N368)</f>
        <v>20.28</v>
      </c>
      <c r="O370" s="119">
        <f t="shared" ref="O370:O371" si="264">N370*(1+O368)</f>
        <v>20.28</v>
      </c>
      <c r="P370" s="119">
        <f t="shared" ref="P370:P371" si="265">O370*(1+P368)</f>
        <v>20.28</v>
      </c>
      <c r="Q370" s="3"/>
      <c r="R370" s="3"/>
      <c r="S370" s="3"/>
    </row>
    <row r="371" spans="1:19" customFormat="1" ht="12.75" customHeight="1" x14ac:dyDescent="0.25">
      <c r="A371" s="16"/>
      <c r="B371" s="62" t="s">
        <v>343</v>
      </c>
      <c r="C371" s="3"/>
      <c r="D371" s="3"/>
      <c r="E371" s="103">
        <v>12</v>
      </c>
      <c r="F371" s="103">
        <v>12</v>
      </c>
      <c r="G371" s="164">
        <f>F371*(1+G369)</f>
        <v>15.600000000000001</v>
      </c>
      <c r="H371" s="119">
        <f t="shared" ref="H371:I371" si="266">G371*(1+H369)</f>
        <v>20.28</v>
      </c>
      <c r="I371" s="119">
        <f t="shared" si="266"/>
        <v>20.28</v>
      </c>
      <c r="J371" s="119">
        <f t="shared" si="259"/>
        <v>20.28</v>
      </c>
      <c r="K371" s="119">
        <f t="shared" si="260"/>
        <v>20.28</v>
      </c>
      <c r="L371" s="119">
        <f t="shared" si="261"/>
        <v>20.28</v>
      </c>
      <c r="M371" s="119">
        <f t="shared" si="262"/>
        <v>20.28</v>
      </c>
      <c r="N371" s="119">
        <f t="shared" si="263"/>
        <v>20.28</v>
      </c>
      <c r="O371" s="119">
        <f t="shared" si="264"/>
        <v>20.28</v>
      </c>
      <c r="P371" s="119">
        <f t="shared" si="265"/>
        <v>20.28</v>
      </c>
      <c r="Q371" s="3"/>
      <c r="R371" s="3"/>
      <c r="S371" s="3"/>
    </row>
    <row r="372" spans="1:19" customFormat="1" ht="12.75" customHeight="1" x14ac:dyDescent="0.25">
      <c r="A372" s="16"/>
      <c r="B372" s="62" t="s">
        <v>297</v>
      </c>
      <c r="C372" s="3"/>
      <c r="D372" s="3"/>
      <c r="E372" s="103"/>
      <c r="F372" s="103"/>
      <c r="G372" s="164">
        <f>ROUND(F372*(1+G$369),2)</f>
        <v>0</v>
      </c>
      <c r="H372" s="119">
        <f t="shared" ref="H372:I372" si="267">ROUND(G372*(1+H$369),2)</f>
        <v>0</v>
      </c>
      <c r="I372" s="119">
        <f t="shared" si="267"/>
        <v>0</v>
      </c>
      <c r="J372" s="119">
        <f t="shared" ref="J372" si="268">ROUND(I372*(1+J$369),2)</f>
        <v>0</v>
      </c>
      <c r="K372" s="119">
        <f t="shared" ref="K372" si="269">ROUND(J372*(1+K$369),2)</f>
        <v>0</v>
      </c>
      <c r="L372" s="119">
        <f t="shared" ref="L372" si="270">ROUND(K372*(1+L$369),2)</f>
        <v>0</v>
      </c>
      <c r="M372" s="119">
        <f t="shared" ref="M372" si="271">ROUND(L372*(1+M$369),2)</f>
        <v>0</v>
      </c>
      <c r="N372" s="119">
        <f t="shared" ref="N372" si="272">ROUND(M372*(1+N$369),2)</f>
        <v>0</v>
      </c>
      <c r="O372" s="119">
        <f t="shared" ref="O372" si="273">ROUND(N372*(1+O$369),2)</f>
        <v>0</v>
      </c>
      <c r="P372" s="119">
        <f t="shared" ref="P372" si="274">ROUND(O372*(1+P$369),2)</f>
        <v>0</v>
      </c>
      <c r="Q372" s="3"/>
      <c r="R372" s="3"/>
      <c r="S372" s="3"/>
    </row>
    <row r="373" spans="1:19" customFormat="1" ht="12.75" customHeight="1" x14ac:dyDescent="0.25">
      <c r="A373" s="16"/>
      <c r="B373" s="62"/>
      <c r="C373" s="3"/>
      <c r="D373" s="3"/>
      <c r="E373" s="119"/>
      <c r="F373" s="119"/>
      <c r="G373" s="170"/>
      <c r="H373" s="54"/>
      <c r="I373" s="54"/>
      <c r="J373" s="54"/>
      <c r="K373" s="54"/>
      <c r="L373" s="54"/>
      <c r="M373" s="54"/>
      <c r="N373" s="54"/>
      <c r="O373" s="54"/>
      <c r="P373" s="54"/>
      <c r="Q373" s="3"/>
      <c r="R373" s="3"/>
      <c r="S373" s="3"/>
    </row>
    <row r="374" spans="1:19" customFormat="1" ht="12.75" customHeight="1" x14ac:dyDescent="0.25">
      <c r="A374" s="77" t="s">
        <v>0</v>
      </c>
      <c r="B374" s="117"/>
      <c r="C374" s="3"/>
      <c r="D374" s="3"/>
      <c r="E374" s="13"/>
      <c r="F374" s="13"/>
      <c r="G374" s="160"/>
      <c r="H374" s="13"/>
      <c r="I374" s="13"/>
      <c r="J374" s="13"/>
      <c r="K374" s="13"/>
      <c r="L374" s="13"/>
      <c r="M374" s="13"/>
      <c r="N374" s="13"/>
      <c r="O374" s="13"/>
      <c r="P374" s="13"/>
      <c r="Q374" s="3"/>
      <c r="R374" s="3"/>
      <c r="S374" s="3"/>
    </row>
    <row r="375" spans="1:19" customFormat="1" ht="12.75" customHeight="1" x14ac:dyDescent="0.25">
      <c r="A375" s="77"/>
      <c r="B375" s="62" t="s">
        <v>216</v>
      </c>
      <c r="C375" s="3"/>
      <c r="D375" s="3"/>
      <c r="E375" s="103">
        <v>24</v>
      </c>
      <c r="F375" s="103">
        <v>24</v>
      </c>
      <c r="G375" s="164">
        <f>ROUND(F375*(1+G$368),2)</f>
        <v>31.2</v>
      </c>
      <c r="H375" s="119">
        <f t="shared" ref="H375:I375" si="275">ROUND(G375*(1+H$368),2)</f>
        <v>40.56</v>
      </c>
      <c r="I375" s="119">
        <f t="shared" si="275"/>
        <v>40.56</v>
      </c>
      <c r="J375" s="119">
        <f t="shared" ref="J375" si="276">ROUND(I375*(1+J$368),2)</f>
        <v>40.56</v>
      </c>
      <c r="K375" s="119">
        <f t="shared" ref="K375" si="277">ROUND(J375*(1+K$368),2)</f>
        <v>40.56</v>
      </c>
      <c r="L375" s="119">
        <f t="shared" ref="L375" si="278">ROUND(K375*(1+L$368),2)</f>
        <v>40.56</v>
      </c>
      <c r="M375" s="119">
        <f t="shared" ref="M375" si="279">ROUND(L375*(1+M$368),2)</f>
        <v>40.56</v>
      </c>
      <c r="N375" s="119">
        <f t="shared" ref="N375" si="280">ROUND(M375*(1+N$368),2)</f>
        <v>40.56</v>
      </c>
      <c r="O375" s="119">
        <f t="shared" ref="O375" si="281">ROUND(N375*(1+O$368),2)</f>
        <v>40.56</v>
      </c>
      <c r="P375" s="119">
        <f t="shared" ref="P375" si="282">ROUND(O375*(1+P$368),2)</f>
        <v>40.56</v>
      </c>
      <c r="Q375" s="3"/>
      <c r="R375" s="3"/>
      <c r="S375" s="3"/>
    </row>
    <row r="376" spans="1:19" customFormat="1" ht="12.75" customHeight="1" x14ac:dyDescent="0.25">
      <c r="A376" s="77"/>
      <c r="B376" s="62" t="s">
        <v>343</v>
      </c>
      <c r="C376" s="3"/>
      <c r="D376" s="3"/>
      <c r="E376" s="103">
        <v>24</v>
      </c>
      <c r="F376" s="103">
        <v>24</v>
      </c>
      <c r="G376" s="164">
        <f t="shared" ref="G376" si="283">ROUND(F376*(1+G$369),2)</f>
        <v>31.2</v>
      </c>
      <c r="H376" s="119">
        <f t="shared" ref="H376" si="284">ROUND(G376*(1+H$369),2)</f>
        <v>40.56</v>
      </c>
      <c r="I376" s="119">
        <f t="shared" ref="I376" si="285">ROUND(H376*(1+I$369),2)</f>
        <v>40.56</v>
      </c>
      <c r="J376" s="119">
        <f t="shared" ref="J376:J377" si="286">ROUND(I376*(1+J$369),2)</f>
        <v>40.56</v>
      </c>
      <c r="K376" s="119">
        <f t="shared" ref="K376:K377" si="287">ROUND(J376*(1+K$369),2)</f>
        <v>40.56</v>
      </c>
      <c r="L376" s="119">
        <f t="shared" ref="L376:L377" si="288">ROUND(K376*(1+L$369),2)</f>
        <v>40.56</v>
      </c>
      <c r="M376" s="119">
        <f t="shared" ref="M376:M377" si="289">ROUND(L376*(1+M$369),2)</f>
        <v>40.56</v>
      </c>
      <c r="N376" s="119">
        <f t="shared" ref="N376:N377" si="290">ROUND(M376*(1+N$369),2)</f>
        <v>40.56</v>
      </c>
      <c r="O376" s="119">
        <f t="shared" ref="O376:O377" si="291">ROUND(N376*(1+O$369),2)</f>
        <v>40.56</v>
      </c>
      <c r="P376" s="119">
        <f t="shared" ref="P376:P377" si="292">ROUND(O376*(1+P$369),2)</f>
        <v>40.56</v>
      </c>
      <c r="Q376" s="3"/>
      <c r="R376" s="3"/>
      <c r="S376" s="3"/>
    </row>
    <row r="377" spans="1:19" customFormat="1" ht="12.75" customHeight="1" x14ac:dyDescent="0.25">
      <c r="A377" s="77"/>
      <c r="B377" s="62" t="s">
        <v>297</v>
      </c>
      <c r="C377" s="3"/>
      <c r="D377" s="3"/>
      <c r="E377" s="103"/>
      <c r="F377" s="103"/>
      <c r="G377" s="164">
        <f t="shared" ref="G377:I377" si="293">ROUND(F377*(1+G$369),2)</f>
        <v>0</v>
      </c>
      <c r="H377" s="119">
        <f t="shared" si="293"/>
        <v>0</v>
      </c>
      <c r="I377" s="119">
        <f t="shared" si="293"/>
        <v>0</v>
      </c>
      <c r="J377" s="119">
        <f t="shared" si="286"/>
        <v>0</v>
      </c>
      <c r="K377" s="119">
        <f t="shared" si="287"/>
        <v>0</v>
      </c>
      <c r="L377" s="119">
        <f t="shared" si="288"/>
        <v>0</v>
      </c>
      <c r="M377" s="119">
        <f t="shared" si="289"/>
        <v>0</v>
      </c>
      <c r="N377" s="119">
        <f t="shared" si="290"/>
        <v>0</v>
      </c>
      <c r="O377" s="119">
        <f t="shared" si="291"/>
        <v>0</v>
      </c>
      <c r="P377" s="119">
        <f t="shared" si="292"/>
        <v>0</v>
      </c>
      <c r="Q377" s="3"/>
      <c r="R377" s="3"/>
      <c r="S377" s="3"/>
    </row>
    <row r="378" spans="1:19" customFormat="1" ht="12.75" customHeight="1" thickBot="1" x14ac:dyDescent="0.3">
      <c r="A378" s="16"/>
      <c r="B378" s="117"/>
      <c r="C378" s="3"/>
      <c r="D378" s="3"/>
      <c r="E378" s="119"/>
      <c r="F378" s="119"/>
      <c r="G378" s="170"/>
      <c r="H378" s="54"/>
      <c r="I378" s="54"/>
      <c r="J378" s="54"/>
      <c r="K378" s="54"/>
      <c r="L378" s="54"/>
      <c r="M378" s="54"/>
      <c r="N378" s="54"/>
      <c r="O378" s="54"/>
      <c r="P378" s="54"/>
      <c r="Q378" s="3"/>
      <c r="R378" s="3"/>
      <c r="S378" s="3"/>
    </row>
    <row r="379" spans="1:19" customFormat="1" ht="12.75" customHeight="1" x14ac:dyDescent="0.25">
      <c r="A379" s="656" t="s">
        <v>62</v>
      </c>
      <c r="B379" s="678"/>
      <c r="C379" s="679"/>
      <c r="D379" s="679"/>
      <c r="E379" s="680"/>
      <c r="F379" s="680"/>
      <c r="G379" s="681">
        <f t="shared" ref="G379:G380" si="294">G368</f>
        <v>0.3</v>
      </c>
      <c r="H379" s="682">
        <f>H368</f>
        <v>0.3</v>
      </c>
      <c r="I379" s="682">
        <f t="shared" ref="I379" si="295">I368</f>
        <v>0</v>
      </c>
      <c r="J379" s="682">
        <f t="shared" ref="J379:P379" si="296">J368</f>
        <v>0</v>
      </c>
      <c r="K379" s="682">
        <f t="shared" si="296"/>
        <v>0</v>
      </c>
      <c r="L379" s="682">
        <f t="shared" si="296"/>
        <v>0</v>
      </c>
      <c r="M379" s="682">
        <f t="shared" si="296"/>
        <v>0</v>
      </c>
      <c r="N379" s="682">
        <f t="shared" si="296"/>
        <v>0</v>
      </c>
      <c r="O379" s="682">
        <f t="shared" si="296"/>
        <v>0</v>
      </c>
      <c r="P379" s="683">
        <f t="shared" si="296"/>
        <v>0</v>
      </c>
      <c r="Q379" s="3" t="s">
        <v>223</v>
      </c>
      <c r="R379" s="3"/>
      <c r="S379" s="3"/>
    </row>
    <row r="380" spans="1:19" customFormat="1" ht="12.75" customHeight="1" thickBot="1" x14ac:dyDescent="0.3">
      <c r="A380" s="661" t="s">
        <v>191</v>
      </c>
      <c r="B380" s="675"/>
      <c r="C380" s="650"/>
      <c r="D380" s="650"/>
      <c r="E380" s="54"/>
      <c r="F380" s="54"/>
      <c r="G380" s="163">
        <f t="shared" si="294"/>
        <v>0.3</v>
      </c>
      <c r="H380" s="66">
        <f>H369</f>
        <v>0.3</v>
      </c>
      <c r="I380" s="66">
        <f t="shared" ref="I380" si="297">I369</f>
        <v>0</v>
      </c>
      <c r="J380" s="66">
        <f t="shared" ref="J380:P380" si="298">J369</f>
        <v>0</v>
      </c>
      <c r="K380" s="66">
        <f t="shared" si="298"/>
        <v>0</v>
      </c>
      <c r="L380" s="66">
        <f t="shared" si="298"/>
        <v>0</v>
      </c>
      <c r="M380" s="66">
        <f t="shared" si="298"/>
        <v>0</v>
      </c>
      <c r="N380" s="66">
        <f t="shared" si="298"/>
        <v>0</v>
      </c>
      <c r="O380" s="66">
        <f t="shared" si="298"/>
        <v>0</v>
      </c>
      <c r="P380" s="663">
        <f t="shared" si="298"/>
        <v>0</v>
      </c>
      <c r="Q380" s="3" t="s">
        <v>320</v>
      </c>
      <c r="R380" s="3"/>
      <c r="S380" s="3"/>
    </row>
    <row r="381" spans="1:19" customFormat="1" ht="12.75" customHeight="1" thickBot="1" x14ac:dyDescent="0.3">
      <c r="A381" s="664"/>
      <c r="B381" s="676" t="s">
        <v>216</v>
      </c>
      <c r="C381" s="677"/>
      <c r="D381" s="677"/>
      <c r="E381" s="103">
        <v>3</v>
      </c>
      <c r="F381" s="103">
        <v>3</v>
      </c>
      <c r="G381" s="640">
        <f>ROUND(F381*(1+G$379),2)</f>
        <v>3.9</v>
      </c>
      <c r="H381" s="674">
        <f t="shared" ref="H381:I381" si="299">ROUND(G381*(1+H$379),2)</f>
        <v>5.07</v>
      </c>
      <c r="I381" s="119">
        <f t="shared" si="299"/>
        <v>5.07</v>
      </c>
      <c r="J381" s="119">
        <f t="shared" ref="J381" si="300">ROUND(I381*(1+J$379),2)</f>
        <v>5.07</v>
      </c>
      <c r="K381" s="119">
        <f t="shared" ref="K381" si="301">ROUND(J381*(1+K$379),2)</f>
        <v>5.07</v>
      </c>
      <c r="L381" s="119">
        <f t="shared" ref="L381" si="302">ROUND(K381*(1+L$379),2)</f>
        <v>5.07</v>
      </c>
      <c r="M381" s="119">
        <f t="shared" ref="M381" si="303">ROUND(L381*(1+M$379),2)</f>
        <v>5.07</v>
      </c>
      <c r="N381" s="119">
        <f t="shared" ref="N381" si="304">ROUND(M381*(1+N$379),2)</f>
        <v>5.07</v>
      </c>
      <c r="O381" s="119">
        <f t="shared" ref="O381" si="305">ROUND(N381*(1+O$379),2)</f>
        <v>5.07</v>
      </c>
      <c r="P381" s="665">
        <f t="shared" ref="P381" si="306">ROUND(O381*(1+P$379),2)</f>
        <v>5.07</v>
      </c>
      <c r="Q381" s="3"/>
      <c r="R381" s="67"/>
      <c r="S381" s="67"/>
    </row>
    <row r="382" spans="1:19" customFormat="1" ht="12.75" customHeight="1" x14ac:dyDescent="0.25">
      <c r="A382" s="664"/>
      <c r="B382" s="676" t="s">
        <v>343</v>
      </c>
      <c r="C382" s="677"/>
      <c r="D382" s="677"/>
      <c r="E382" s="103">
        <v>3</v>
      </c>
      <c r="F382" s="103">
        <v>3</v>
      </c>
      <c r="G382" s="164">
        <f t="shared" ref="G382:I383" si="307">ROUND(F382*(1+G$380),2)</f>
        <v>3.9</v>
      </c>
      <c r="H382" s="119">
        <f t="shared" ref="H382" si="308">ROUND(G382*(1+H$380),2)</f>
        <v>5.07</v>
      </c>
      <c r="I382" s="119">
        <f t="shared" ref="I382" si="309">ROUND(H382*(1+I$380),2)</f>
        <v>5.07</v>
      </c>
      <c r="J382" s="119">
        <f t="shared" ref="J382:J383" si="310">ROUND(I382*(1+J$380),2)</f>
        <v>5.07</v>
      </c>
      <c r="K382" s="119">
        <f t="shared" ref="K382:K383" si="311">ROUND(J382*(1+K$380),2)</f>
        <v>5.07</v>
      </c>
      <c r="L382" s="119">
        <f t="shared" ref="L382:L383" si="312">ROUND(K382*(1+L$380),2)</f>
        <v>5.07</v>
      </c>
      <c r="M382" s="119">
        <f t="shared" ref="M382:M383" si="313">ROUND(L382*(1+M$380),2)</f>
        <v>5.07</v>
      </c>
      <c r="N382" s="119">
        <f t="shared" ref="N382:N383" si="314">ROUND(M382*(1+N$380),2)</f>
        <v>5.07</v>
      </c>
      <c r="O382" s="119">
        <f t="shared" ref="O382:O383" si="315">ROUND(N382*(1+O$380),2)</f>
        <v>5.07</v>
      </c>
      <c r="P382" s="665">
        <f t="shared" ref="P382:P383" si="316">ROUND(O382*(1+P$380),2)</f>
        <v>5.07</v>
      </c>
      <c r="Q382" s="3"/>
      <c r="R382" s="67"/>
      <c r="S382" s="67"/>
    </row>
    <row r="383" spans="1:19" customFormat="1" ht="12.75" customHeight="1" x14ac:dyDescent="0.25">
      <c r="A383" s="664"/>
      <c r="B383" s="676" t="s">
        <v>297</v>
      </c>
      <c r="C383" s="677"/>
      <c r="D383" s="677"/>
      <c r="E383" s="103"/>
      <c r="F383" s="103"/>
      <c r="G383" s="164">
        <f t="shared" si="307"/>
        <v>0</v>
      </c>
      <c r="H383" s="119">
        <f t="shared" si="307"/>
        <v>0</v>
      </c>
      <c r="I383" s="119">
        <f t="shared" si="307"/>
        <v>0</v>
      </c>
      <c r="J383" s="119">
        <f t="shared" si="310"/>
        <v>0</v>
      </c>
      <c r="K383" s="119">
        <f t="shared" si="311"/>
        <v>0</v>
      </c>
      <c r="L383" s="119">
        <f t="shared" si="312"/>
        <v>0</v>
      </c>
      <c r="M383" s="119">
        <f t="shared" si="313"/>
        <v>0</v>
      </c>
      <c r="N383" s="119">
        <f t="shared" si="314"/>
        <v>0</v>
      </c>
      <c r="O383" s="119">
        <f t="shared" si="315"/>
        <v>0</v>
      </c>
      <c r="P383" s="665">
        <f t="shared" si="316"/>
        <v>0</v>
      </c>
      <c r="Q383" s="3"/>
      <c r="R383" s="67"/>
      <c r="S383" s="67"/>
    </row>
    <row r="384" spans="1:19" customFormat="1" ht="12.75" customHeight="1" x14ac:dyDescent="0.25">
      <c r="A384" s="664"/>
      <c r="B384" s="676"/>
      <c r="C384" s="677"/>
      <c r="D384" s="677"/>
      <c r="E384" s="119"/>
      <c r="F384" s="119"/>
      <c r="G384" s="170"/>
      <c r="H384" s="54"/>
      <c r="I384" s="54"/>
      <c r="J384" s="54"/>
      <c r="K384" s="54"/>
      <c r="L384" s="54"/>
      <c r="M384" s="54"/>
      <c r="N384" s="54"/>
      <c r="O384" s="54"/>
      <c r="P384" s="684"/>
      <c r="Q384" s="3"/>
      <c r="R384" s="67"/>
      <c r="S384" s="67"/>
    </row>
    <row r="385" spans="1:29" customFormat="1" ht="12.75" customHeight="1" thickBot="1" x14ac:dyDescent="0.3">
      <c r="A385" s="661" t="s">
        <v>0</v>
      </c>
      <c r="B385" s="675"/>
      <c r="C385" s="655"/>
      <c r="D385" s="655"/>
      <c r="E385" s="1"/>
      <c r="F385" s="1"/>
      <c r="G385" s="166"/>
      <c r="H385" s="1"/>
      <c r="I385" s="1"/>
      <c r="J385" s="1"/>
      <c r="K385" s="1"/>
      <c r="L385" s="1"/>
      <c r="M385" s="1"/>
      <c r="N385" s="1"/>
      <c r="O385" s="1"/>
      <c r="P385" s="685"/>
      <c r="Q385" s="3"/>
      <c r="R385" s="67"/>
      <c r="S385" s="67"/>
    </row>
    <row r="386" spans="1:29" customFormat="1" ht="12.75" customHeight="1" thickBot="1" x14ac:dyDescent="0.3">
      <c r="A386" s="661"/>
      <c r="B386" s="676" t="s">
        <v>216</v>
      </c>
      <c r="C386" s="677"/>
      <c r="D386" s="677"/>
      <c r="E386" s="103">
        <v>6</v>
      </c>
      <c r="F386" s="103">
        <v>6</v>
      </c>
      <c r="G386" s="640">
        <f>ROUND(F386*(1+G$379),2)</f>
        <v>7.8</v>
      </c>
      <c r="H386" s="674">
        <f t="shared" ref="H386:I386" si="317">ROUND(G386*(1+H$379),2)</f>
        <v>10.14</v>
      </c>
      <c r="I386" s="119">
        <f t="shared" si="317"/>
        <v>10.14</v>
      </c>
      <c r="J386" s="119">
        <f t="shared" ref="J386" si="318">ROUND(I386*(1+J$379),2)</f>
        <v>10.14</v>
      </c>
      <c r="K386" s="119">
        <f t="shared" ref="K386" si="319">ROUND(J386*(1+K$379),2)</f>
        <v>10.14</v>
      </c>
      <c r="L386" s="119">
        <f t="shared" ref="L386" si="320">ROUND(K386*(1+L$379),2)</f>
        <v>10.14</v>
      </c>
      <c r="M386" s="119">
        <f t="shared" ref="M386" si="321">ROUND(L386*(1+M$379),2)</f>
        <v>10.14</v>
      </c>
      <c r="N386" s="119">
        <f t="shared" ref="N386" si="322">ROUND(M386*(1+N$379),2)</f>
        <v>10.14</v>
      </c>
      <c r="O386" s="119">
        <f t="shared" ref="O386" si="323">ROUND(N386*(1+O$379),2)</f>
        <v>10.14</v>
      </c>
      <c r="P386" s="665">
        <f t="shared" ref="P386" si="324">ROUND(O386*(1+P$379),2)</f>
        <v>10.14</v>
      </c>
      <c r="Q386" s="3"/>
      <c r="R386" s="67"/>
      <c r="S386" s="67"/>
    </row>
    <row r="387" spans="1:29" customFormat="1" ht="12.75" customHeight="1" x14ac:dyDescent="0.25">
      <c r="A387" s="661"/>
      <c r="B387" s="676" t="s">
        <v>343</v>
      </c>
      <c r="C387" s="677"/>
      <c r="D387" s="677"/>
      <c r="E387" s="103">
        <v>6</v>
      </c>
      <c r="F387" s="103">
        <v>6</v>
      </c>
      <c r="G387" s="164">
        <f>ROUND(F387*(1+G$380),2)</f>
        <v>7.8</v>
      </c>
      <c r="H387" s="119">
        <f t="shared" ref="H387:I387" si="325">ROUND(G387*(1+H$380),2)</f>
        <v>10.14</v>
      </c>
      <c r="I387" s="119">
        <f t="shared" si="325"/>
        <v>10.14</v>
      </c>
      <c r="J387" s="119">
        <f t="shared" ref="J387" si="326">ROUND(I387*(1+J$380),2)</f>
        <v>10.14</v>
      </c>
      <c r="K387" s="119">
        <f t="shared" ref="K387" si="327">ROUND(J387*(1+K$380),2)</f>
        <v>10.14</v>
      </c>
      <c r="L387" s="119">
        <f t="shared" ref="L387" si="328">ROUND(K387*(1+L$380),2)</f>
        <v>10.14</v>
      </c>
      <c r="M387" s="119">
        <f t="shared" ref="M387" si="329">ROUND(L387*(1+M$380),2)</f>
        <v>10.14</v>
      </c>
      <c r="N387" s="119">
        <f t="shared" ref="N387" si="330">ROUND(M387*(1+N$380),2)</f>
        <v>10.14</v>
      </c>
      <c r="O387" s="119">
        <f t="shared" ref="O387" si="331">ROUND(N387*(1+O$380),2)</f>
        <v>10.14</v>
      </c>
      <c r="P387" s="665">
        <f t="shared" ref="P387" si="332">ROUND(O387*(1+P$380),2)</f>
        <v>10.14</v>
      </c>
      <c r="Q387" s="3"/>
      <c r="R387" s="67"/>
      <c r="S387" s="67"/>
    </row>
    <row r="388" spans="1:29" customFormat="1" ht="12.75" customHeight="1" x14ac:dyDescent="0.25">
      <c r="A388" s="661"/>
      <c r="B388" s="676" t="s">
        <v>297</v>
      </c>
      <c r="C388" s="677"/>
      <c r="D388" s="677"/>
      <c r="E388" s="103"/>
      <c r="F388" s="103"/>
      <c r="G388" s="164">
        <f>ROUND(F388*(1+G$380),2)</f>
        <v>0</v>
      </c>
      <c r="H388" s="119">
        <f t="shared" ref="H388:I388" si="333">ROUND(G388*(1+H$369),2)</f>
        <v>0</v>
      </c>
      <c r="I388" s="119">
        <f t="shared" si="333"/>
        <v>0</v>
      </c>
      <c r="J388" s="119">
        <f t="shared" ref="J388" si="334">ROUND(I388*(1+J$369),2)</f>
        <v>0</v>
      </c>
      <c r="K388" s="119">
        <f t="shared" ref="K388" si="335">ROUND(J388*(1+K$369),2)</f>
        <v>0</v>
      </c>
      <c r="L388" s="119">
        <f t="shared" ref="L388" si="336">ROUND(K388*(1+L$369),2)</f>
        <v>0</v>
      </c>
      <c r="M388" s="119">
        <f t="shared" ref="M388" si="337">ROUND(L388*(1+M$369),2)</f>
        <v>0</v>
      </c>
      <c r="N388" s="119">
        <f t="shared" ref="N388" si="338">ROUND(M388*(1+N$369),2)</f>
        <v>0</v>
      </c>
      <c r="O388" s="119">
        <f t="shared" ref="O388" si="339">ROUND(N388*(1+O$369),2)</f>
        <v>0</v>
      </c>
      <c r="P388" s="665">
        <f t="shared" ref="P388" si="340">ROUND(O388*(1+P$369),2)</f>
        <v>0</v>
      </c>
      <c r="Q388" s="3"/>
      <c r="R388" s="67"/>
      <c r="S388" s="67"/>
    </row>
    <row r="389" spans="1:29" customFormat="1" ht="12.75" customHeight="1" thickBot="1" x14ac:dyDescent="0.3">
      <c r="A389" s="666"/>
      <c r="B389" s="669"/>
      <c r="C389" s="669"/>
      <c r="D389" s="669"/>
      <c r="E389" s="672"/>
      <c r="F389" s="672"/>
      <c r="G389" s="686"/>
      <c r="H389" s="687"/>
      <c r="I389" s="687"/>
      <c r="J389" s="687"/>
      <c r="K389" s="687"/>
      <c r="L389" s="687"/>
      <c r="M389" s="687"/>
      <c r="N389" s="687"/>
      <c r="O389" s="687"/>
      <c r="P389" s="688"/>
      <c r="Q389" s="3"/>
      <c r="R389" s="3"/>
      <c r="S389" s="3"/>
    </row>
    <row r="390" spans="1:29" customFormat="1" ht="12.75" customHeight="1" x14ac:dyDescent="0.25">
      <c r="A390" s="16"/>
      <c r="B390" s="2"/>
      <c r="C390" s="2"/>
      <c r="D390" s="2"/>
      <c r="E390" s="1"/>
      <c r="F390" s="1"/>
      <c r="G390" s="1"/>
      <c r="H390" s="1"/>
      <c r="I390" s="1"/>
      <c r="J390" s="1"/>
      <c r="K390" s="1"/>
      <c r="L390" s="3"/>
      <c r="M390" s="3"/>
      <c r="N390" s="3"/>
    </row>
    <row r="391" spans="1:29" customFormat="1" ht="12.75" customHeight="1" x14ac:dyDescent="0.25">
      <c r="A391" s="77"/>
      <c r="B391" s="337"/>
      <c r="C391" s="3"/>
      <c r="D391" s="437"/>
      <c r="E391" s="437"/>
      <c r="F391" s="437"/>
      <c r="G391" s="437"/>
      <c r="H391" s="13"/>
      <c r="N391" s="438"/>
      <c r="O391" s="3"/>
      <c r="P391" s="3"/>
      <c r="Q391" s="3"/>
      <c r="R391" s="3"/>
      <c r="S391" s="3"/>
      <c r="T391" s="3"/>
      <c r="U391" s="3"/>
      <c r="V391" s="3"/>
      <c r="W391" s="3"/>
      <c r="X391" s="3"/>
    </row>
    <row r="392" spans="1:29" customFormat="1" ht="12.75" customHeight="1" x14ac:dyDescent="0.25">
      <c r="A392" s="77" t="s">
        <v>275</v>
      </c>
      <c r="B392" s="3"/>
      <c r="C392" s="3"/>
      <c r="D392" s="437"/>
      <c r="E392" s="437"/>
      <c r="F392" s="437"/>
      <c r="G392" s="437"/>
      <c r="H392" s="13"/>
      <c r="N392" s="437"/>
      <c r="O392" s="3"/>
      <c r="P392" s="3"/>
      <c r="Q392" s="3"/>
      <c r="R392" s="3"/>
      <c r="S392" s="3"/>
      <c r="T392" s="3"/>
      <c r="U392" s="3"/>
      <c r="V392" s="3"/>
      <c r="W392" s="3"/>
      <c r="X392" s="3"/>
    </row>
    <row r="393" spans="1:29" customFormat="1" ht="12.75" customHeight="1" x14ac:dyDescent="0.25">
      <c r="A393" s="77" t="s">
        <v>276</v>
      </c>
      <c r="B393" s="3"/>
      <c r="C393" s="3"/>
      <c r="D393" s="437"/>
      <c r="E393" s="437"/>
      <c r="F393" s="437"/>
      <c r="G393" s="437"/>
      <c r="H393" s="13"/>
      <c r="N393" s="438"/>
      <c r="O393" s="3"/>
      <c r="P393" s="3"/>
      <c r="Q393" s="3"/>
      <c r="R393" s="3"/>
      <c r="S393" s="3"/>
      <c r="T393" s="3"/>
      <c r="U393" s="3"/>
      <c r="V393" s="3"/>
      <c r="W393" s="3"/>
      <c r="X393" s="3"/>
    </row>
    <row r="394" spans="1:29" customFormat="1" ht="12.75" customHeight="1" thickBot="1" x14ac:dyDescent="0.3">
      <c r="A394" s="78" t="s">
        <v>428</v>
      </c>
      <c r="B394" s="437"/>
      <c r="C394" s="437"/>
      <c r="D394" s="439"/>
      <c r="E394" s="439"/>
      <c r="F394" s="437"/>
      <c r="G394" s="437"/>
      <c r="H394" s="15"/>
      <c r="I394" s="208"/>
      <c r="N394" s="438"/>
      <c r="O394" s="3"/>
      <c r="P394" s="3"/>
      <c r="Q394" s="3"/>
      <c r="R394" s="3"/>
      <c r="S394" s="3"/>
      <c r="T394" s="3"/>
      <c r="U394" s="3"/>
      <c r="V394" s="3"/>
      <c r="W394" s="3"/>
      <c r="X394" s="3"/>
    </row>
    <row r="395" spans="1:29" customFormat="1" ht="12.75" customHeight="1" thickBot="1" x14ac:dyDescent="0.3">
      <c r="A395" s="440"/>
      <c r="B395" s="441"/>
      <c r="C395" s="441"/>
      <c r="D395" s="263"/>
      <c r="E395" s="441"/>
      <c r="F395" s="442" t="s">
        <v>119</v>
      </c>
      <c r="G395" s="442" t="s">
        <v>272</v>
      </c>
      <c r="H395" s="441"/>
      <c r="I395" s="441"/>
      <c r="J395" s="441"/>
      <c r="K395" s="441"/>
      <c r="L395" s="441"/>
      <c r="M395" s="441"/>
      <c r="N395" s="441"/>
      <c r="O395" s="441"/>
      <c r="P395" s="441"/>
      <c r="Q395" s="441"/>
      <c r="R395" s="442" t="s">
        <v>345</v>
      </c>
      <c r="S395" s="437"/>
      <c r="T395" s="3"/>
      <c r="U395" s="3"/>
      <c r="V395" s="3"/>
      <c r="W395" s="3"/>
      <c r="X395" s="3"/>
      <c r="Y395" s="3"/>
      <c r="Z395" s="3"/>
      <c r="AA395" s="3"/>
      <c r="AB395" s="3"/>
      <c r="AC395" s="3"/>
    </row>
    <row r="396" spans="1:29" ht="12.75" customHeight="1" x14ac:dyDescent="0.25">
      <c r="A396" s="443"/>
      <c r="B396" s="444"/>
      <c r="C396" s="444"/>
      <c r="D396" s="445"/>
      <c r="E396" s="444" t="s">
        <v>277</v>
      </c>
      <c r="F396" s="446" t="s">
        <v>278</v>
      </c>
      <c r="G396" s="446" t="s">
        <v>279</v>
      </c>
      <c r="H396" s="641" t="s">
        <v>280</v>
      </c>
      <c r="I396" s="641"/>
      <c r="J396" s="641"/>
      <c r="K396" s="641"/>
      <c r="L396" s="641"/>
      <c r="M396" s="641"/>
      <c r="N396" s="641"/>
      <c r="O396" s="641"/>
      <c r="P396" s="641"/>
      <c r="Q396" s="641"/>
      <c r="R396" s="444" t="s">
        <v>281</v>
      </c>
      <c r="S396" s="437"/>
      <c r="T396" s="447" t="s">
        <v>282</v>
      </c>
      <c r="U396" s="448"/>
      <c r="V396" s="448"/>
      <c r="W396" s="448"/>
      <c r="X396" s="448"/>
      <c r="Y396" s="448"/>
      <c r="Z396" s="448"/>
      <c r="AA396" s="448"/>
      <c r="AB396" s="448"/>
      <c r="AC396" s="449"/>
    </row>
    <row r="397" spans="1:29" ht="12.75" customHeight="1" x14ac:dyDescent="0.25">
      <c r="A397" s="450"/>
      <c r="B397" s="451" t="s">
        <v>230</v>
      </c>
      <c r="C397" s="451"/>
      <c r="D397" s="451"/>
      <c r="E397" s="452" t="s">
        <v>283</v>
      </c>
      <c r="F397" s="452" t="s">
        <v>200</v>
      </c>
      <c r="G397" s="452" t="s">
        <v>231</v>
      </c>
      <c r="H397" s="453">
        <f>G366</f>
        <v>2025</v>
      </c>
      <c r="I397" s="454">
        <f>+H397+1</f>
        <v>2026</v>
      </c>
      <c r="J397" s="454">
        <f>+I397+1</f>
        <v>2027</v>
      </c>
      <c r="K397" s="454">
        <f t="shared" ref="K397:Q397" si="341">+J397+1</f>
        <v>2028</v>
      </c>
      <c r="L397" s="454">
        <f t="shared" si="341"/>
        <v>2029</v>
      </c>
      <c r="M397" s="454">
        <f t="shared" si="341"/>
        <v>2030</v>
      </c>
      <c r="N397" s="454">
        <f t="shared" si="341"/>
        <v>2031</v>
      </c>
      <c r="O397" s="454">
        <f t="shared" si="341"/>
        <v>2032</v>
      </c>
      <c r="P397" s="454">
        <f t="shared" si="341"/>
        <v>2033</v>
      </c>
      <c r="Q397" s="454">
        <f t="shared" si="341"/>
        <v>2034</v>
      </c>
      <c r="R397" s="451" t="s">
        <v>284</v>
      </c>
      <c r="S397" s="437"/>
      <c r="T397" s="456" t="s">
        <v>285</v>
      </c>
      <c r="U397" s="436"/>
      <c r="V397" s="436"/>
      <c r="W397" s="436"/>
      <c r="X397" s="457"/>
      <c r="Y397" s="456" t="s">
        <v>286</v>
      </c>
      <c r="Z397" s="436"/>
      <c r="AA397" s="436"/>
      <c r="AB397" s="436"/>
      <c r="AC397" s="457"/>
    </row>
    <row r="398" spans="1:29" ht="12.75" customHeight="1" x14ac:dyDescent="0.25">
      <c r="A398" s="458" t="s">
        <v>287</v>
      </c>
      <c r="B398" s="459"/>
      <c r="C398" s="460"/>
      <c r="D398" s="461"/>
      <c r="E398" s="462"/>
      <c r="F398" s="536"/>
      <c r="G398" s="463"/>
      <c r="H398" s="464">
        <v>0</v>
      </c>
      <c r="I398" s="464">
        <v>0</v>
      </c>
      <c r="J398" s="464">
        <v>0</v>
      </c>
      <c r="K398" s="464">
        <v>0</v>
      </c>
      <c r="L398" s="464">
        <v>0</v>
      </c>
      <c r="M398" s="464">
        <v>0</v>
      </c>
      <c r="N398" s="464">
        <v>0</v>
      </c>
      <c r="O398" s="464">
        <v>0</v>
      </c>
      <c r="P398" s="464">
        <v>0</v>
      </c>
      <c r="Q398" s="464">
        <v>0</v>
      </c>
      <c r="R398" s="465">
        <f t="shared" ref="R398:R429" si="342">SUM(H398:Q398)</f>
        <v>0</v>
      </c>
      <c r="S398" s="437"/>
      <c r="T398" s="466" t="str">
        <f t="shared" ref="T398:T429" si="343">F398&amp;"-"&amp;G398&amp;"-"&amp;E398</f>
        <v>--</v>
      </c>
      <c r="U398" s="467"/>
      <c r="V398" s="467"/>
      <c r="W398" s="467"/>
      <c r="X398" s="468"/>
      <c r="Y398" s="469" t="str">
        <f t="shared" ref="Y398:Y547" si="344">$F398&amp;"-"&amp;$G398</f>
        <v>-</v>
      </c>
      <c r="Z398" s="467"/>
      <c r="AA398" s="467"/>
      <c r="AB398" s="467"/>
      <c r="AC398" s="470"/>
    </row>
    <row r="399" spans="1:29" ht="12.75" customHeight="1" x14ac:dyDescent="0.25">
      <c r="A399" s="471" t="s">
        <v>287</v>
      </c>
      <c r="B399" s="459" t="s">
        <v>395</v>
      </c>
      <c r="C399" s="459"/>
      <c r="D399" s="472"/>
      <c r="E399" s="462" t="s">
        <v>2</v>
      </c>
      <c r="F399" s="536" t="s">
        <v>367</v>
      </c>
      <c r="G399" s="463" t="s">
        <v>368</v>
      </c>
      <c r="H399" s="464">
        <v>0</v>
      </c>
      <c r="I399" s="464">
        <v>25000</v>
      </c>
      <c r="J399" s="464">
        <f t="shared" ref="J399:Q399" si="345">I399</f>
        <v>25000</v>
      </c>
      <c r="K399" s="464">
        <f t="shared" si="345"/>
        <v>25000</v>
      </c>
      <c r="L399" s="464">
        <f t="shared" si="345"/>
        <v>25000</v>
      </c>
      <c r="M399" s="464">
        <f t="shared" si="345"/>
        <v>25000</v>
      </c>
      <c r="N399" s="464">
        <f t="shared" si="345"/>
        <v>25000</v>
      </c>
      <c r="O399" s="464">
        <f t="shared" si="345"/>
        <v>25000</v>
      </c>
      <c r="P399" s="464">
        <f t="shared" si="345"/>
        <v>25000</v>
      </c>
      <c r="Q399" s="464">
        <f t="shared" si="345"/>
        <v>25000</v>
      </c>
      <c r="R399" s="473">
        <f t="shared" si="342"/>
        <v>225000</v>
      </c>
      <c r="S399" s="437"/>
      <c r="T399" s="466" t="str">
        <f t="shared" si="343"/>
        <v>Yes-Cash-PS&amp;T</v>
      </c>
      <c r="U399" s="467"/>
      <c r="V399" s="467"/>
      <c r="W399" s="467"/>
      <c r="X399" s="468"/>
      <c r="Y399" s="469" t="str">
        <f t="shared" si="344"/>
        <v>Yes-Cash</v>
      </c>
      <c r="Z399" s="467"/>
      <c r="AA399" s="467"/>
      <c r="AB399" s="467"/>
      <c r="AC399" s="470"/>
    </row>
    <row r="400" spans="1:29" ht="12.75" customHeight="1" x14ac:dyDescent="0.25">
      <c r="A400" s="471" t="s">
        <v>287</v>
      </c>
      <c r="B400" s="459"/>
      <c r="C400" s="459"/>
      <c r="D400" s="472"/>
      <c r="E400" s="462"/>
      <c r="F400" s="536"/>
      <c r="G400" s="463"/>
      <c r="H400" s="464">
        <v>0</v>
      </c>
      <c r="I400" s="464">
        <v>0</v>
      </c>
      <c r="J400" s="464">
        <v>0</v>
      </c>
      <c r="K400" s="464">
        <v>0</v>
      </c>
      <c r="L400" s="464">
        <v>0</v>
      </c>
      <c r="M400" s="464">
        <v>0</v>
      </c>
      <c r="N400" s="464">
        <v>0</v>
      </c>
      <c r="O400" s="464">
        <v>0</v>
      </c>
      <c r="P400" s="464">
        <v>0</v>
      </c>
      <c r="Q400" s="464">
        <v>0</v>
      </c>
      <c r="R400" s="473">
        <f t="shared" si="342"/>
        <v>0</v>
      </c>
      <c r="S400" s="437"/>
      <c r="T400" s="466" t="str">
        <f t="shared" si="343"/>
        <v>--</v>
      </c>
      <c r="U400" s="467"/>
      <c r="V400" s="467"/>
      <c r="W400" s="467"/>
      <c r="X400" s="468"/>
      <c r="Y400" s="469" t="str">
        <f t="shared" si="344"/>
        <v>-</v>
      </c>
      <c r="Z400" s="467"/>
      <c r="AA400" s="467"/>
      <c r="AB400" s="467"/>
      <c r="AC400" s="470"/>
    </row>
    <row r="401" spans="1:29" ht="12.75" customHeight="1" x14ac:dyDescent="0.25">
      <c r="A401" s="458" t="s">
        <v>287</v>
      </c>
      <c r="B401" s="459"/>
      <c r="C401" s="459"/>
      <c r="D401" s="472"/>
      <c r="E401" s="462"/>
      <c r="F401" s="536"/>
      <c r="G401" s="463"/>
      <c r="H401" s="464">
        <v>0</v>
      </c>
      <c r="I401" s="464">
        <v>0</v>
      </c>
      <c r="J401" s="464">
        <v>0</v>
      </c>
      <c r="K401" s="464">
        <v>0</v>
      </c>
      <c r="L401" s="464">
        <v>0</v>
      </c>
      <c r="M401" s="464">
        <v>0</v>
      </c>
      <c r="N401" s="464">
        <v>0</v>
      </c>
      <c r="O401" s="464">
        <v>0</v>
      </c>
      <c r="P401" s="464">
        <v>0</v>
      </c>
      <c r="Q401" s="464">
        <v>0</v>
      </c>
      <c r="R401" s="473">
        <f t="shared" si="342"/>
        <v>0</v>
      </c>
      <c r="S401" s="437"/>
      <c r="T401" s="466" t="str">
        <f t="shared" si="343"/>
        <v>--</v>
      </c>
      <c r="U401" s="467"/>
      <c r="V401" s="467"/>
      <c r="W401" s="467"/>
      <c r="X401" s="468"/>
      <c r="Y401" s="469" t="str">
        <f t="shared" si="344"/>
        <v>-</v>
      </c>
      <c r="Z401" s="467"/>
      <c r="AA401" s="467"/>
      <c r="AB401" s="467"/>
      <c r="AC401" s="470"/>
    </row>
    <row r="402" spans="1:29" ht="12.75" customHeight="1" x14ac:dyDescent="0.25">
      <c r="A402" s="458" t="s">
        <v>287</v>
      </c>
      <c r="B402" s="459"/>
      <c r="C402" s="459"/>
      <c r="D402" s="472"/>
      <c r="E402" s="462"/>
      <c r="F402" s="536"/>
      <c r="G402" s="463"/>
      <c r="H402" s="464">
        <v>0</v>
      </c>
      <c r="I402" s="464">
        <v>0</v>
      </c>
      <c r="J402" s="464">
        <v>0</v>
      </c>
      <c r="K402" s="464">
        <v>0</v>
      </c>
      <c r="L402" s="464">
        <v>0</v>
      </c>
      <c r="M402" s="464">
        <v>0</v>
      </c>
      <c r="N402" s="464">
        <v>0</v>
      </c>
      <c r="O402" s="464">
        <v>0</v>
      </c>
      <c r="P402" s="464">
        <v>0</v>
      </c>
      <c r="Q402" s="464">
        <v>0</v>
      </c>
      <c r="R402" s="473">
        <f t="shared" si="342"/>
        <v>0</v>
      </c>
      <c r="S402" s="437"/>
      <c r="T402" s="466" t="str">
        <f t="shared" si="343"/>
        <v>--</v>
      </c>
      <c r="U402" s="467"/>
      <c r="V402" s="467"/>
      <c r="W402" s="467"/>
      <c r="X402" s="468"/>
      <c r="Y402" s="469" t="str">
        <f t="shared" si="344"/>
        <v>-</v>
      </c>
      <c r="Z402" s="467"/>
      <c r="AA402" s="467"/>
      <c r="AB402" s="467"/>
      <c r="AC402" s="470"/>
    </row>
    <row r="403" spans="1:29" ht="12.75" customHeight="1" x14ac:dyDescent="0.25">
      <c r="A403" s="458" t="s">
        <v>287</v>
      </c>
      <c r="B403" s="459"/>
      <c r="C403" s="459"/>
      <c r="D403" s="472"/>
      <c r="E403" s="462"/>
      <c r="F403" s="536"/>
      <c r="G403" s="463"/>
      <c r="H403" s="464">
        <v>0</v>
      </c>
      <c r="I403" s="464">
        <v>0</v>
      </c>
      <c r="J403" s="464">
        <v>0</v>
      </c>
      <c r="K403" s="464">
        <v>0</v>
      </c>
      <c r="L403" s="464">
        <v>0</v>
      </c>
      <c r="M403" s="464">
        <v>0</v>
      </c>
      <c r="N403" s="464">
        <v>0</v>
      </c>
      <c r="O403" s="464">
        <v>0</v>
      </c>
      <c r="P403" s="464">
        <v>0</v>
      </c>
      <c r="Q403" s="464">
        <v>0</v>
      </c>
      <c r="R403" s="473">
        <f t="shared" si="342"/>
        <v>0</v>
      </c>
      <c r="S403" s="437"/>
      <c r="T403" s="466" t="str">
        <f t="shared" si="343"/>
        <v>--</v>
      </c>
      <c r="U403" s="467"/>
      <c r="V403" s="467"/>
      <c r="W403" s="467"/>
      <c r="X403" s="468"/>
      <c r="Y403" s="469" t="str">
        <f t="shared" si="344"/>
        <v>-</v>
      </c>
      <c r="Z403" s="467"/>
      <c r="AA403" s="467"/>
      <c r="AB403" s="467"/>
      <c r="AC403" s="470"/>
    </row>
    <row r="404" spans="1:29" ht="12.75" customHeight="1" x14ac:dyDescent="0.25">
      <c r="A404" s="458" t="s">
        <v>287</v>
      </c>
      <c r="B404" s="459" t="s">
        <v>369</v>
      </c>
      <c r="C404" s="459"/>
      <c r="D404" s="472"/>
      <c r="E404" s="462" t="s">
        <v>2</v>
      </c>
      <c r="F404" s="536" t="s">
        <v>367</v>
      </c>
      <c r="G404" s="463" t="s">
        <v>368</v>
      </c>
      <c r="H404" s="464">
        <v>0</v>
      </c>
      <c r="I404" s="464"/>
      <c r="J404" s="464"/>
      <c r="K404" s="464"/>
      <c r="L404" s="464"/>
      <c r="M404" s="464"/>
      <c r="N404" s="464"/>
      <c r="O404" s="464"/>
      <c r="P404" s="464"/>
      <c r="Q404" s="464"/>
      <c r="R404" s="473">
        <f t="shared" si="342"/>
        <v>0</v>
      </c>
      <c r="S404" s="437"/>
      <c r="T404" s="466" t="str">
        <f t="shared" si="343"/>
        <v>Yes-Cash-PS&amp;T</v>
      </c>
      <c r="U404" s="467"/>
      <c r="V404" s="467"/>
      <c r="W404" s="467"/>
      <c r="X404" s="468"/>
      <c r="Y404" s="469" t="str">
        <f t="shared" si="344"/>
        <v>Yes-Cash</v>
      </c>
      <c r="Z404" s="467"/>
      <c r="AA404" s="467"/>
      <c r="AB404" s="467"/>
      <c r="AC404" s="470"/>
    </row>
    <row r="405" spans="1:29" ht="12.75" customHeight="1" x14ac:dyDescent="0.25">
      <c r="A405" s="458" t="s">
        <v>287</v>
      </c>
      <c r="B405" s="459" t="s">
        <v>370</v>
      </c>
      <c r="C405" s="459"/>
      <c r="D405" s="472"/>
      <c r="E405" s="462" t="s">
        <v>2</v>
      </c>
      <c r="F405" s="536" t="s">
        <v>367</v>
      </c>
      <c r="G405" s="463" t="s">
        <v>371</v>
      </c>
      <c r="H405" s="464">
        <v>0</v>
      </c>
      <c r="I405" s="464">
        <v>0</v>
      </c>
      <c r="J405" s="464">
        <v>0</v>
      </c>
      <c r="K405" s="464">
        <v>0</v>
      </c>
      <c r="L405" s="464">
        <v>0</v>
      </c>
      <c r="M405" s="464">
        <v>0</v>
      </c>
      <c r="N405" s="464">
        <v>0</v>
      </c>
      <c r="O405" s="464">
        <v>0</v>
      </c>
      <c r="P405" s="464">
        <v>0</v>
      </c>
      <c r="Q405" s="464">
        <v>0</v>
      </c>
      <c r="R405" s="473">
        <f t="shared" si="342"/>
        <v>0</v>
      </c>
      <c r="S405" s="437"/>
      <c r="T405" s="466" t="str">
        <f t="shared" si="343"/>
        <v>Yes-Debt-PS&amp;T</v>
      </c>
      <c r="U405" s="467"/>
      <c r="V405" s="467"/>
      <c r="W405" s="467"/>
      <c r="X405" s="468"/>
      <c r="Y405" s="469" t="str">
        <f t="shared" si="344"/>
        <v>Yes-Debt</v>
      </c>
      <c r="Z405" s="467"/>
      <c r="AA405" s="467"/>
      <c r="AB405" s="467"/>
      <c r="AC405" s="470"/>
    </row>
    <row r="406" spans="1:29" ht="12.75" customHeight="1" x14ac:dyDescent="0.25">
      <c r="A406" s="458" t="s">
        <v>287</v>
      </c>
      <c r="B406" s="459"/>
      <c r="C406" s="459"/>
      <c r="D406" s="472"/>
      <c r="E406" s="462"/>
      <c r="F406" s="536"/>
      <c r="G406" s="463"/>
      <c r="H406" s="464">
        <v>0</v>
      </c>
      <c r="I406" s="464">
        <v>0</v>
      </c>
      <c r="J406" s="464">
        <v>0</v>
      </c>
      <c r="K406" s="464">
        <v>0</v>
      </c>
      <c r="L406" s="464">
        <v>0</v>
      </c>
      <c r="M406" s="464">
        <v>0</v>
      </c>
      <c r="N406" s="464">
        <v>0</v>
      </c>
      <c r="O406" s="464">
        <v>0</v>
      </c>
      <c r="P406" s="464">
        <v>0</v>
      </c>
      <c r="Q406" s="464">
        <v>0</v>
      </c>
      <c r="R406" s="473">
        <f t="shared" si="342"/>
        <v>0</v>
      </c>
      <c r="S406" s="437"/>
      <c r="T406" s="466" t="str">
        <f t="shared" si="343"/>
        <v>--</v>
      </c>
      <c r="U406" s="467"/>
      <c r="V406" s="467"/>
      <c r="W406" s="467"/>
      <c r="X406" s="468"/>
      <c r="Y406" s="469" t="str">
        <f t="shared" si="344"/>
        <v>-</v>
      </c>
      <c r="Z406" s="467"/>
      <c r="AA406" s="467"/>
      <c r="AB406" s="467"/>
      <c r="AC406" s="470"/>
    </row>
    <row r="407" spans="1:29" ht="12.75" customHeight="1" x14ac:dyDescent="0.25">
      <c r="A407" s="458" t="s">
        <v>287</v>
      </c>
      <c r="B407" s="459"/>
      <c r="C407" s="459"/>
      <c r="D407" s="472"/>
      <c r="E407" s="462"/>
      <c r="F407" s="536"/>
      <c r="G407" s="463"/>
      <c r="H407" s="464">
        <v>0</v>
      </c>
      <c r="I407" s="464">
        <v>0</v>
      </c>
      <c r="J407" s="464">
        <v>0</v>
      </c>
      <c r="K407" s="464">
        <v>0</v>
      </c>
      <c r="L407" s="464">
        <v>0</v>
      </c>
      <c r="M407" s="464">
        <v>0</v>
      </c>
      <c r="N407" s="464">
        <v>0</v>
      </c>
      <c r="O407" s="464">
        <v>0</v>
      </c>
      <c r="P407" s="464">
        <v>0</v>
      </c>
      <c r="Q407" s="464">
        <v>0</v>
      </c>
      <c r="R407" s="473">
        <f t="shared" si="342"/>
        <v>0</v>
      </c>
      <c r="S407" s="437"/>
      <c r="T407" s="466" t="str">
        <f t="shared" si="343"/>
        <v>--</v>
      </c>
      <c r="U407" s="467"/>
      <c r="V407" s="467"/>
      <c r="W407" s="467"/>
      <c r="X407" s="468"/>
      <c r="Y407" s="469" t="str">
        <f t="shared" si="344"/>
        <v>-</v>
      </c>
      <c r="Z407" s="467"/>
      <c r="AA407" s="467"/>
      <c r="AB407" s="467"/>
      <c r="AC407" s="470"/>
    </row>
    <row r="408" spans="1:29" ht="12.75" customHeight="1" x14ac:dyDescent="0.25">
      <c r="A408" s="458" t="s">
        <v>287</v>
      </c>
      <c r="B408" s="459"/>
      <c r="C408" s="459"/>
      <c r="D408" s="472"/>
      <c r="E408" s="462"/>
      <c r="F408" s="536"/>
      <c r="G408" s="463"/>
      <c r="H408" s="464"/>
      <c r="I408" s="464"/>
      <c r="J408" s="464"/>
      <c r="K408" s="464"/>
      <c r="L408" s="464"/>
      <c r="M408" s="464"/>
      <c r="N408" s="464"/>
      <c r="O408" s="464"/>
      <c r="P408" s="464"/>
      <c r="Q408" s="464"/>
      <c r="R408" s="473">
        <f t="shared" si="342"/>
        <v>0</v>
      </c>
      <c r="S408" s="437"/>
      <c r="T408" s="466" t="str">
        <f t="shared" si="343"/>
        <v>--</v>
      </c>
      <c r="U408" s="467"/>
      <c r="V408" s="467"/>
      <c r="W408" s="467"/>
      <c r="X408" s="468"/>
      <c r="Y408" s="469" t="str">
        <f t="shared" si="344"/>
        <v>-</v>
      </c>
      <c r="Z408" s="467"/>
      <c r="AA408" s="467"/>
      <c r="AB408" s="467"/>
      <c r="AC408" s="470"/>
    </row>
    <row r="409" spans="1:29" ht="12.75" customHeight="1" x14ac:dyDescent="0.25">
      <c r="A409" s="458" t="s">
        <v>287</v>
      </c>
      <c r="B409" s="459"/>
      <c r="C409" s="459"/>
      <c r="D409" s="472"/>
      <c r="E409" s="462"/>
      <c r="F409" s="536"/>
      <c r="G409" s="463"/>
      <c r="H409" s="464"/>
      <c r="I409" s="464"/>
      <c r="J409" s="464"/>
      <c r="K409" s="464"/>
      <c r="L409" s="464"/>
      <c r="M409" s="464"/>
      <c r="N409" s="464"/>
      <c r="O409" s="464"/>
      <c r="P409" s="464"/>
      <c r="Q409" s="464"/>
      <c r="R409" s="473">
        <f t="shared" si="342"/>
        <v>0</v>
      </c>
      <c r="S409" s="437"/>
      <c r="T409" s="466" t="str">
        <f t="shared" si="343"/>
        <v>--</v>
      </c>
      <c r="U409" s="467"/>
      <c r="V409" s="467"/>
      <c r="W409" s="467"/>
      <c r="X409" s="468"/>
      <c r="Y409" s="469" t="str">
        <f t="shared" si="344"/>
        <v>-</v>
      </c>
      <c r="Z409" s="467"/>
      <c r="AA409" s="467"/>
      <c r="AB409" s="467"/>
      <c r="AC409" s="470"/>
    </row>
    <row r="410" spans="1:29" ht="12.75" customHeight="1" x14ac:dyDescent="0.25">
      <c r="A410" s="458" t="s">
        <v>287</v>
      </c>
      <c r="B410" s="459"/>
      <c r="C410" s="459"/>
      <c r="D410" s="472"/>
      <c r="E410" s="462"/>
      <c r="F410" s="536"/>
      <c r="G410" s="463"/>
      <c r="H410" s="464"/>
      <c r="I410" s="464"/>
      <c r="J410" s="464"/>
      <c r="K410" s="464"/>
      <c r="L410" s="464"/>
      <c r="M410" s="464"/>
      <c r="N410" s="464"/>
      <c r="O410" s="464"/>
      <c r="P410" s="464"/>
      <c r="Q410" s="464"/>
      <c r="R410" s="473">
        <f t="shared" si="342"/>
        <v>0</v>
      </c>
      <c r="S410" s="437"/>
      <c r="T410" s="466" t="str">
        <f t="shared" si="343"/>
        <v>--</v>
      </c>
      <c r="U410" s="467"/>
      <c r="V410" s="467"/>
      <c r="W410" s="467"/>
      <c r="X410" s="468"/>
      <c r="Y410" s="469" t="str">
        <f t="shared" si="344"/>
        <v>-</v>
      </c>
      <c r="Z410" s="467"/>
      <c r="AA410" s="467"/>
      <c r="AB410" s="467"/>
      <c r="AC410" s="470"/>
    </row>
    <row r="411" spans="1:29" ht="12.75" customHeight="1" x14ac:dyDescent="0.25">
      <c r="A411" s="458" t="s">
        <v>287</v>
      </c>
      <c r="B411" s="459"/>
      <c r="C411" s="459"/>
      <c r="D411" s="472"/>
      <c r="E411" s="462"/>
      <c r="F411" s="536"/>
      <c r="G411" s="463"/>
      <c r="H411" s="464"/>
      <c r="I411" s="464"/>
      <c r="J411" s="464"/>
      <c r="K411" s="464"/>
      <c r="L411" s="464"/>
      <c r="M411" s="464"/>
      <c r="N411" s="464"/>
      <c r="O411" s="464"/>
      <c r="P411" s="464"/>
      <c r="Q411" s="464"/>
      <c r="R411" s="473">
        <f t="shared" si="342"/>
        <v>0</v>
      </c>
      <c r="S411" s="437"/>
      <c r="T411" s="466" t="str">
        <f t="shared" si="343"/>
        <v>--</v>
      </c>
      <c r="U411" s="467"/>
      <c r="V411" s="467"/>
      <c r="W411" s="467"/>
      <c r="X411" s="468"/>
      <c r="Y411" s="469" t="str">
        <f t="shared" si="344"/>
        <v>-</v>
      </c>
      <c r="Z411" s="467"/>
      <c r="AA411" s="467"/>
      <c r="AB411" s="467"/>
      <c r="AC411" s="470"/>
    </row>
    <row r="412" spans="1:29" ht="12.75" customHeight="1" x14ac:dyDescent="0.25">
      <c r="A412" s="458" t="s">
        <v>287</v>
      </c>
      <c r="B412" s="459"/>
      <c r="C412" s="459"/>
      <c r="D412" s="472"/>
      <c r="E412" s="462"/>
      <c r="F412" s="536"/>
      <c r="G412" s="463"/>
      <c r="H412" s="464"/>
      <c r="I412" s="464"/>
      <c r="J412" s="464"/>
      <c r="K412" s="464"/>
      <c r="L412" s="464"/>
      <c r="M412" s="464"/>
      <c r="N412" s="464"/>
      <c r="O412" s="464"/>
      <c r="P412" s="464"/>
      <c r="Q412" s="464"/>
      <c r="R412" s="473">
        <f t="shared" si="342"/>
        <v>0</v>
      </c>
      <c r="S412" s="437"/>
      <c r="T412" s="466" t="str">
        <f t="shared" si="343"/>
        <v>--</v>
      </c>
      <c r="U412" s="467"/>
      <c r="V412" s="467"/>
      <c r="W412" s="467"/>
      <c r="X412" s="468"/>
      <c r="Y412" s="469" t="str">
        <f t="shared" si="344"/>
        <v>-</v>
      </c>
      <c r="Z412" s="467"/>
      <c r="AA412" s="467"/>
      <c r="AB412" s="467"/>
      <c r="AC412" s="470"/>
    </row>
    <row r="413" spans="1:29" ht="12.75" customHeight="1" x14ac:dyDescent="0.25">
      <c r="A413" s="458" t="s">
        <v>287</v>
      </c>
      <c r="B413" s="459"/>
      <c r="C413" s="459"/>
      <c r="D413" s="472"/>
      <c r="E413" s="462"/>
      <c r="F413" s="536"/>
      <c r="G413" s="463"/>
      <c r="H413" s="464"/>
      <c r="I413" s="464"/>
      <c r="J413" s="464"/>
      <c r="K413" s="464"/>
      <c r="L413" s="464"/>
      <c r="M413" s="464"/>
      <c r="N413" s="464"/>
      <c r="O413" s="464"/>
      <c r="P413" s="464"/>
      <c r="Q413" s="464"/>
      <c r="R413" s="473">
        <f t="shared" si="342"/>
        <v>0</v>
      </c>
      <c r="S413" s="437"/>
      <c r="T413" s="466" t="str">
        <f t="shared" si="343"/>
        <v>--</v>
      </c>
      <c r="U413" s="467"/>
      <c r="V413" s="467"/>
      <c r="W413" s="467"/>
      <c r="X413" s="468"/>
      <c r="Y413" s="469" t="str">
        <f t="shared" si="344"/>
        <v>-</v>
      </c>
      <c r="Z413" s="467"/>
      <c r="AA413" s="467"/>
      <c r="AB413" s="467"/>
      <c r="AC413" s="470"/>
    </row>
    <row r="414" spans="1:29" ht="12.75" customHeight="1" x14ac:dyDescent="0.25">
      <c r="A414" s="458" t="s">
        <v>287</v>
      </c>
      <c r="B414" s="459"/>
      <c r="C414" s="459"/>
      <c r="D414" s="472"/>
      <c r="E414" s="462"/>
      <c r="F414" s="536"/>
      <c r="G414" s="463"/>
      <c r="H414" s="464"/>
      <c r="I414" s="464"/>
      <c r="J414" s="464"/>
      <c r="K414" s="464"/>
      <c r="L414" s="464"/>
      <c r="M414" s="464"/>
      <c r="N414" s="464"/>
      <c r="O414" s="464"/>
      <c r="P414" s="464"/>
      <c r="Q414" s="464"/>
      <c r="R414" s="473">
        <f t="shared" si="342"/>
        <v>0</v>
      </c>
      <c r="S414" s="437"/>
      <c r="T414" s="466" t="str">
        <f t="shared" si="343"/>
        <v>--</v>
      </c>
      <c r="U414" s="467"/>
      <c r="V414" s="467"/>
      <c r="W414" s="467"/>
      <c r="X414" s="468"/>
      <c r="Y414" s="469" t="str">
        <f t="shared" si="344"/>
        <v>-</v>
      </c>
      <c r="Z414" s="467"/>
      <c r="AA414" s="467"/>
      <c r="AB414" s="467"/>
      <c r="AC414" s="470"/>
    </row>
    <row r="415" spans="1:29" ht="12.75" customHeight="1" x14ac:dyDescent="0.25">
      <c r="A415" s="458" t="s">
        <v>287</v>
      </c>
      <c r="B415" s="459"/>
      <c r="C415" s="459"/>
      <c r="D415" s="472"/>
      <c r="E415" s="462"/>
      <c r="F415" s="536"/>
      <c r="G415" s="463"/>
      <c r="H415" s="464"/>
      <c r="I415" s="464"/>
      <c r="J415" s="464"/>
      <c r="K415" s="464"/>
      <c r="L415" s="464"/>
      <c r="M415" s="464"/>
      <c r="N415" s="464"/>
      <c r="O415" s="464"/>
      <c r="P415" s="464"/>
      <c r="Q415" s="464"/>
      <c r="R415" s="473">
        <f t="shared" si="342"/>
        <v>0</v>
      </c>
      <c r="S415" s="437"/>
      <c r="T415" s="466" t="str">
        <f t="shared" si="343"/>
        <v>--</v>
      </c>
      <c r="U415" s="467"/>
      <c r="V415" s="467"/>
      <c r="W415" s="467"/>
      <c r="X415" s="468"/>
      <c r="Y415" s="469" t="str">
        <f t="shared" si="344"/>
        <v>-</v>
      </c>
      <c r="Z415" s="467"/>
      <c r="AA415" s="467"/>
      <c r="AB415" s="467"/>
      <c r="AC415" s="470"/>
    </row>
    <row r="416" spans="1:29" ht="12.75" customHeight="1" x14ac:dyDescent="0.25">
      <c r="A416" s="458" t="s">
        <v>287</v>
      </c>
      <c r="B416" s="459"/>
      <c r="C416" s="459"/>
      <c r="D416" s="472"/>
      <c r="E416" s="462"/>
      <c r="F416" s="536"/>
      <c r="G416" s="463"/>
      <c r="H416" s="464"/>
      <c r="I416" s="464"/>
      <c r="J416" s="464"/>
      <c r="K416" s="464"/>
      <c r="L416" s="464"/>
      <c r="M416" s="464"/>
      <c r="N416" s="464"/>
      <c r="O416" s="464"/>
      <c r="P416" s="464"/>
      <c r="Q416" s="464"/>
      <c r="R416" s="473">
        <f t="shared" si="342"/>
        <v>0</v>
      </c>
      <c r="S416" s="437"/>
      <c r="T416" s="466" t="str">
        <f t="shared" si="343"/>
        <v>--</v>
      </c>
      <c r="U416" s="467"/>
      <c r="V416" s="467"/>
      <c r="W416" s="467"/>
      <c r="X416" s="468"/>
      <c r="Y416" s="469" t="str">
        <f t="shared" si="344"/>
        <v>-</v>
      </c>
      <c r="Z416" s="467"/>
      <c r="AA416" s="467"/>
      <c r="AB416" s="467"/>
      <c r="AC416" s="470"/>
    </row>
    <row r="417" spans="1:29" ht="12.75" customHeight="1" x14ac:dyDescent="0.25">
      <c r="A417" s="458" t="s">
        <v>287</v>
      </c>
      <c r="B417" s="459"/>
      <c r="C417" s="459"/>
      <c r="D417" s="472"/>
      <c r="E417" s="462"/>
      <c r="F417" s="536"/>
      <c r="G417" s="463"/>
      <c r="H417" s="464"/>
      <c r="I417" s="464"/>
      <c r="J417" s="464"/>
      <c r="K417" s="464"/>
      <c r="L417" s="464"/>
      <c r="M417" s="464"/>
      <c r="N417" s="464"/>
      <c r="O417" s="464"/>
      <c r="P417" s="464"/>
      <c r="Q417" s="464"/>
      <c r="R417" s="473">
        <f t="shared" si="342"/>
        <v>0</v>
      </c>
      <c r="S417" s="437"/>
      <c r="T417" s="466" t="str">
        <f t="shared" si="343"/>
        <v>--</v>
      </c>
      <c r="U417" s="467"/>
      <c r="V417" s="467"/>
      <c r="W417" s="467"/>
      <c r="X417" s="468"/>
      <c r="Y417" s="469" t="str">
        <f t="shared" si="344"/>
        <v>-</v>
      </c>
      <c r="Z417" s="467"/>
      <c r="AA417" s="467"/>
      <c r="AB417" s="467"/>
      <c r="AC417" s="470"/>
    </row>
    <row r="418" spans="1:29" ht="12.75" customHeight="1" x14ac:dyDescent="0.25">
      <c r="A418" s="458" t="s">
        <v>287</v>
      </c>
      <c r="B418" s="459"/>
      <c r="C418" s="459"/>
      <c r="D418" s="472"/>
      <c r="E418" s="462"/>
      <c r="F418" s="536"/>
      <c r="G418" s="463"/>
      <c r="H418" s="464"/>
      <c r="I418" s="464"/>
      <c r="J418" s="464"/>
      <c r="K418" s="464"/>
      <c r="L418" s="464"/>
      <c r="M418" s="464"/>
      <c r="N418" s="464"/>
      <c r="O418" s="464"/>
      <c r="P418" s="464"/>
      <c r="Q418" s="464"/>
      <c r="R418" s="473">
        <f t="shared" si="342"/>
        <v>0</v>
      </c>
      <c r="S418" s="437"/>
      <c r="T418" s="466" t="str">
        <f t="shared" si="343"/>
        <v>--</v>
      </c>
      <c r="U418" s="467"/>
      <c r="V418" s="467"/>
      <c r="W418" s="467"/>
      <c r="X418" s="468"/>
      <c r="Y418" s="469" t="str">
        <f t="shared" si="344"/>
        <v>-</v>
      </c>
      <c r="Z418" s="467"/>
      <c r="AA418" s="467"/>
      <c r="AB418" s="467"/>
      <c r="AC418" s="470"/>
    </row>
    <row r="419" spans="1:29" ht="12.75" customHeight="1" x14ac:dyDescent="0.25">
      <c r="A419" s="458" t="s">
        <v>287</v>
      </c>
      <c r="B419" s="459"/>
      <c r="C419" s="459"/>
      <c r="D419" s="472"/>
      <c r="E419" s="462"/>
      <c r="F419" s="536"/>
      <c r="G419" s="463"/>
      <c r="H419" s="464"/>
      <c r="I419" s="464"/>
      <c r="J419" s="464"/>
      <c r="K419" s="464"/>
      <c r="L419" s="464"/>
      <c r="M419" s="464"/>
      <c r="N419" s="464"/>
      <c r="O419" s="464"/>
      <c r="P419" s="464"/>
      <c r="Q419" s="464"/>
      <c r="R419" s="473">
        <f t="shared" si="342"/>
        <v>0</v>
      </c>
      <c r="S419" s="437"/>
      <c r="T419" s="466" t="str">
        <f t="shared" si="343"/>
        <v>--</v>
      </c>
      <c r="U419" s="467"/>
      <c r="V419" s="467"/>
      <c r="W419" s="467"/>
      <c r="X419" s="468"/>
      <c r="Y419" s="469" t="str">
        <f t="shared" si="344"/>
        <v>-</v>
      </c>
      <c r="Z419" s="467"/>
      <c r="AA419" s="467"/>
      <c r="AB419" s="467"/>
      <c r="AC419" s="470"/>
    </row>
    <row r="420" spans="1:29" ht="12.75" customHeight="1" x14ac:dyDescent="0.25">
      <c r="A420" s="458" t="s">
        <v>287</v>
      </c>
      <c r="B420" s="459"/>
      <c r="C420" s="459"/>
      <c r="D420" s="472"/>
      <c r="E420" s="462"/>
      <c r="F420" s="536"/>
      <c r="G420" s="463"/>
      <c r="H420" s="464"/>
      <c r="I420" s="464"/>
      <c r="J420" s="464"/>
      <c r="K420" s="464"/>
      <c r="L420" s="464"/>
      <c r="M420" s="464"/>
      <c r="N420" s="464"/>
      <c r="O420" s="464"/>
      <c r="P420" s="464"/>
      <c r="Q420" s="464"/>
      <c r="R420" s="473">
        <f t="shared" si="342"/>
        <v>0</v>
      </c>
      <c r="S420" s="437"/>
      <c r="T420" s="466" t="str">
        <f t="shared" si="343"/>
        <v>--</v>
      </c>
      <c r="U420" s="467"/>
      <c r="V420" s="467"/>
      <c r="W420" s="467"/>
      <c r="X420" s="468"/>
      <c r="Y420" s="469" t="str">
        <f t="shared" si="344"/>
        <v>-</v>
      </c>
      <c r="Z420" s="467"/>
      <c r="AA420" s="467"/>
      <c r="AB420" s="467"/>
      <c r="AC420" s="470"/>
    </row>
    <row r="421" spans="1:29" ht="12.75" customHeight="1" x14ac:dyDescent="0.25">
      <c r="A421" s="458" t="s">
        <v>287</v>
      </c>
      <c r="B421" s="459"/>
      <c r="C421" s="459"/>
      <c r="D421" s="472"/>
      <c r="E421" s="462"/>
      <c r="F421" s="536"/>
      <c r="G421" s="463"/>
      <c r="H421" s="464"/>
      <c r="I421" s="464"/>
      <c r="J421" s="464"/>
      <c r="K421" s="464"/>
      <c r="L421" s="464"/>
      <c r="M421" s="464"/>
      <c r="N421" s="464"/>
      <c r="O421" s="464"/>
      <c r="P421" s="464"/>
      <c r="Q421" s="464"/>
      <c r="R421" s="473">
        <f t="shared" si="342"/>
        <v>0</v>
      </c>
      <c r="S421" s="437"/>
      <c r="T421" s="466" t="str">
        <f t="shared" si="343"/>
        <v>--</v>
      </c>
      <c r="U421" s="467"/>
      <c r="V421" s="467"/>
      <c r="W421" s="467"/>
      <c r="X421" s="468"/>
      <c r="Y421" s="469" t="str">
        <f t="shared" si="344"/>
        <v>-</v>
      </c>
      <c r="Z421" s="467"/>
      <c r="AA421" s="467"/>
      <c r="AB421" s="467"/>
      <c r="AC421" s="470"/>
    </row>
    <row r="422" spans="1:29" ht="12.75" customHeight="1" x14ac:dyDescent="0.25">
      <c r="A422" s="458" t="s">
        <v>287</v>
      </c>
      <c r="B422" s="459"/>
      <c r="C422" s="459"/>
      <c r="D422" s="472"/>
      <c r="E422" s="462"/>
      <c r="F422" s="536"/>
      <c r="G422" s="463"/>
      <c r="H422" s="464"/>
      <c r="I422" s="464"/>
      <c r="J422" s="464"/>
      <c r="K422" s="464"/>
      <c r="L422" s="464"/>
      <c r="M422" s="464"/>
      <c r="N422" s="464"/>
      <c r="O422" s="464"/>
      <c r="P422" s="464"/>
      <c r="Q422" s="464"/>
      <c r="R422" s="473">
        <f t="shared" si="342"/>
        <v>0</v>
      </c>
      <c r="S422" s="437"/>
      <c r="T422" s="466" t="str">
        <f t="shared" si="343"/>
        <v>--</v>
      </c>
      <c r="U422" s="467"/>
      <c r="V422" s="467"/>
      <c r="W422" s="467"/>
      <c r="X422" s="468"/>
      <c r="Y422" s="469" t="str">
        <f t="shared" si="344"/>
        <v>-</v>
      </c>
      <c r="Z422" s="467"/>
      <c r="AA422" s="467"/>
      <c r="AB422" s="467"/>
      <c r="AC422" s="470"/>
    </row>
    <row r="423" spans="1:29" ht="12.75" customHeight="1" x14ac:dyDescent="0.25">
      <c r="A423" s="458" t="s">
        <v>287</v>
      </c>
      <c r="B423" s="459"/>
      <c r="C423" s="459"/>
      <c r="D423" s="472"/>
      <c r="E423" s="462"/>
      <c r="F423" s="536"/>
      <c r="G423" s="463"/>
      <c r="H423" s="464"/>
      <c r="I423" s="464"/>
      <c r="J423" s="464"/>
      <c r="K423" s="464"/>
      <c r="L423" s="464"/>
      <c r="M423" s="464"/>
      <c r="N423" s="464"/>
      <c r="O423" s="464"/>
      <c r="P423" s="464"/>
      <c r="Q423" s="464"/>
      <c r="R423" s="473">
        <f t="shared" si="342"/>
        <v>0</v>
      </c>
      <c r="S423" s="437"/>
      <c r="T423" s="466" t="str">
        <f t="shared" si="343"/>
        <v>--</v>
      </c>
      <c r="U423" s="467"/>
      <c r="V423" s="467"/>
      <c r="W423" s="467"/>
      <c r="X423" s="468"/>
      <c r="Y423" s="469" t="str">
        <f t="shared" si="344"/>
        <v>-</v>
      </c>
      <c r="Z423" s="467"/>
      <c r="AA423" s="467"/>
      <c r="AB423" s="467"/>
      <c r="AC423" s="470"/>
    </row>
    <row r="424" spans="1:29" ht="12.75" customHeight="1" x14ac:dyDescent="0.25">
      <c r="A424" s="458" t="s">
        <v>287</v>
      </c>
      <c r="B424" s="459"/>
      <c r="C424" s="459"/>
      <c r="D424" s="472"/>
      <c r="E424" s="462"/>
      <c r="F424" s="536"/>
      <c r="G424" s="463"/>
      <c r="H424" s="464"/>
      <c r="I424" s="464"/>
      <c r="J424" s="464"/>
      <c r="K424" s="464"/>
      <c r="L424" s="464"/>
      <c r="M424" s="464"/>
      <c r="N424" s="464"/>
      <c r="O424" s="464"/>
      <c r="P424" s="464"/>
      <c r="Q424" s="464"/>
      <c r="R424" s="473">
        <f t="shared" si="342"/>
        <v>0</v>
      </c>
      <c r="S424" s="437"/>
      <c r="T424" s="466" t="str">
        <f t="shared" si="343"/>
        <v>--</v>
      </c>
      <c r="U424" s="467"/>
      <c r="V424" s="467"/>
      <c r="W424" s="467"/>
      <c r="X424" s="468"/>
      <c r="Y424" s="469" t="str">
        <f t="shared" si="344"/>
        <v>-</v>
      </c>
      <c r="Z424" s="467"/>
      <c r="AA424" s="467"/>
      <c r="AB424" s="467"/>
      <c r="AC424" s="470"/>
    </row>
    <row r="425" spans="1:29" ht="12.75" customHeight="1" x14ac:dyDescent="0.25">
      <c r="A425" s="458" t="s">
        <v>287</v>
      </c>
      <c r="B425" s="459"/>
      <c r="C425" s="459"/>
      <c r="D425" s="472"/>
      <c r="E425" s="462"/>
      <c r="F425" s="536"/>
      <c r="G425" s="463"/>
      <c r="H425" s="464"/>
      <c r="I425" s="464"/>
      <c r="J425" s="464"/>
      <c r="K425" s="464"/>
      <c r="L425" s="464"/>
      <c r="M425" s="464"/>
      <c r="N425" s="464"/>
      <c r="O425" s="464"/>
      <c r="P425" s="464"/>
      <c r="Q425" s="464"/>
      <c r="R425" s="473">
        <f t="shared" si="342"/>
        <v>0</v>
      </c>
      <c r="S425" s="437"/>
      <c r="T425" s="466" t="str">
        <f t="shared" si="343"/>
        <v>--</v>
      </c>
      <c r="U425" s="467"/>
      <c r="V425" s="467"/>
      <c r="W425" s="467"/>
      <c r="X425" s="468"/>
      <c r="Y425" s="469" t="str">
        <f t="shared" si="344"/>
        <v>-</v>
      </c>
      <c r="Z425" s="467"/>
      <c r="AA425" s="467"/>
      <c r="AB425" s="467"/>
      <c r="AC425" s="470"/>
    </row>
    <row r="426" spans="1:29" ht="12.75" customHeight="1" x14ac:dyDescent="0.25">
      <c r="A426" s="458" t="s">
        <v>287</v>
      </c>
      <c r="B426" s="459"/>
      <c r="C426" s="459"/>
      <c r="D426" s="472"/>
      <c r="E426" s="462"/>
      <c r="F426" s="536"/>
      <c r="G426" s="463"/>
      <c r="H426" s="464"/>
      <c r="I426" s="464"/>
      <c r="J426" s="464"/>
      <c r="K426" s="464"/>
      <c r="L426" s="464"/>
      <c r="M426" s="464"/>
      <c r="N426" s="464"/>
      <c r="O426" s="464"/>
      <c r="P426" s="464"/>
      <c r="Q426" s="464"/>
      <c r="R426" s="473">
        <f t="shared" si="342"/>
        <v>0</v>
      </c>
      <c r="S426" s="437"/>
      <c r="T426" s="466" t="str">
        <f t="shared" si="343"/>
        <v>--</v>
      </c>
      <c r="U426" s="467"/>
      <c r="V426" s="467"/>
      <c r="W426" s="467"/>
      <c r="X426" s="468"/>
      <c r="Y426" s="469" t="str">
        <f t="shared" si="344"/>
        <v>-</v>
      </c>
      <c r="Z426" s="467"/>
      <c r="AA426" s="467"/>
      <c r="AB426" s="467"/>
      <c r="AC426" s="470"/>
    </row>
    <row r="427" spans="1:29" ht="12.75" customHeight="1" x14ac:dyDescent="0.25">
      <c r="A427" s="458" t="s">
        <v>287</v>
      </c>
      <c r="B427" s="459"/>
      <c r="C427" s="459"/>
      <c r="D427" s="472"/>
      <c r="E427" s="462"/>
      <c r="F427" s="536"/>
      <c r="G427" s="463"/>
      <c r="H427" s="464"/>
      <c r="I427" s="464"/>
      <c r="J427" s="464"/>
      <c r="K427" s="464"/>
      <c r="L427" s="464"/>
      <c r="M427" s="464"/>
      <c r="N427" s="464"/>
      <c r="O427" s="464"/>
      <c r="P427" s="464"/>
      <c r="Q427" s="464"/>
      <c r="R427" s="473">
        <f t="shared" si="342"/>
        <v>0</v>
      </c>
      <c r="S427" s="437"/>
      <c r="T427" s="466" t="str">
        <f t="shared" si="343"/>
        <v>--</v>
      </c>
      <c r="U427" s="467"/>
      <c r="V427" s="467"/>
      <c r="W427" s="467"/>
      <c r="X427" s="468"/>
      <c r="Y427" s="469" t="str">
        <f t="shared" si="344"/>
        <v>-</v>
      </c>
      <c r="Z427" s="467"/>
      <c r="AA427" s="467"/>
      <c r="AB427" s="467"/>
      <c r="AC427" s="470"/>
    </row>
    <row r="428" spans="1:29" ht="12.75" customHeight="1" x14ac:dyDescent="0.25">
      <c r="A428" s="458" t="s">
        <v>287</v>
      </c>
      <c r="B428" s="459"/>
      <c r="C428" s="459"/>
      <c r="D428" s="472"/>
      <c r="E428" s="462"/>
      <c r="F428" s="536"/>
      <c r="G428" s="463"/>
      <c r="H428" s="464"/>
      <c r="I428" s="464"/>
      <c r="J428" s="464"/>
      <c r="K428" s="464"/>
      <c r="L428" s="464"/>
      <c r="M428" s="464"/>
      <c r="N428" s="464"/>
      <c r="O428" s="464"/>
      <c r="P428" s="464"/>
      <c r="Q428" s="464"/>
      <c r="R428" s="473">
        <f t="shared" si="342"/>
        <v>0</v>
      </c>
      <c r="S428" s="437"/>
      <c r="T428" s="466" t="str">
        <f t="shared" si="343"/>
        <v>--</v>
      </c>
      <c r="U428" s="467"/>
      <c r="V428" s="467"/>
      <c r="W428" s="467"/>
      <c r="X428" s="468"/>
      <c r="Y428" s="469" t="str">
        <f t="shared" si="344"/>
        <v>-</v>
      </c>
      <c r="Z428" s="467"/>
      <c r="AA428" s="467"/>
      <c r="AB428" s="467"/>
      <c r="AC428" s="470"/>
    </row>
    <row r="429" spans="1:29" ht="12.75" customHeight="1" x14ac:dyDescent="0.25">
      <c r="A429" s="458" t="s">
        <v>287</v>
      </c>
      <c r="B429" s="459"/>
      <c r="C429" s="459"/>
      <c r="D429" s="472"/>
      <c r="E429" s="462"/>
      <c r="F429" s="536"/>
      <c r="G429" s="463"/>
      <c r="H429" s="464"/>
      <c r="I429" s="464"/>
      <c r="J429" s="464"/>
      <c r="K429" s="464"/>
      <c r="L429" s="464"/>
      <c r="M429" s="464"/>
      <c r="N429" s="464"/>
      <c r="O429" s="464"/>
      <c r="P429" s="464"/>
      <c r="Q429" s="464"/>
      <c r="R429" s="473">
        <f t="shared" si="342"/>
        <v>0</v>
      </c>
      <c r="S429" s="437"/>
      <c r="T429" s="466" t="str">
        <f t="shared" si="343"/>
        <v>--</v>
      </c>
      <c r="U429" s="467"/>
      <c r="V429" s="467"/>
      <c r="W429" s="467"/>
      <c r="X429" s="468"/>
      <c r="Y429" s="469" t="str">
        <f t="shared" si="344"/>
        <v>-</v>
      </c>
      <c r="Z429" s="467"/>
      <c r="AA429" s="467"/>
      <c r="AB429" s="467"/>
      <c r="AC429" s="470"/>
    </row>
    <row r="430" spans="1:29" ht="12.75" customHeight="1" x14ac:dyDescent="0.25">
      <c r="A430" s="458" t="s">
        <v>287</v>
      </c>
      <c r="B430" s="459"/>
      <c r="C430" s="459"/>
      <c r="D430" s="472"/>
      <c r="E430" s="462"/>
      <c r="F430" s="536"/>
      <c r="G430" s="463"/>
      <c r="H430" s="464"/>
      <c r="I430" s="464"/>
      <c r="J430" s="464"/>
      <c r="K430" s="464"/>
      <c r="L430" s="464"/>
      <c r="M430" s="464"/>
      <c r="N430" s="464"/>
      <c r="O430" s="464"/>
      <c r="P430" s="464"/>
      <c r="Q430" s="464"/>
      <c r="R430" s="473">
        <f t="shared" ref="R430:R461" si="346">SUM(H430:Q430)</f>
        <v>0</v>
      </c>
      <c r="S430" s="437"/>
      <c r="T430" s="466" t="str">
        <f t="shared" ref="T430:T461" si="347">F430&amp;"-"&amp;G430&amp;"-"&amp;E430</f>
        <v>--</v>
      </c>
      <c r="U430" s="467"/>
      <c r="V430" s="467"/>
      <c r="W430" s="467"/>
      <c r="X430" s="468"/>
      <c r="Y430" s="469" t="str">
        <f t="shared" si="344"/>
        <v>-</v>
      </c>
      <c r="Z430" s="467"/>
      <c r="AA430" s="467"/>
      <c r="AB430" s="467"/>
      <c r="AC430" s="470"/>
    </row>
    <row r="431" spans="1:29" ht="12.75" customHeight="1" x14ac:dyDescent="0.25">
      <c r="A431" s="458" t="s">
        <v>287</v>
      </c>
      <c r="B431" s="459"/>
      <c r="C431" s="459"/>
      <c r="D431" s="472"/>
      <c r="E431" s="462"/>
      <c r="F431" s="536"/>
      <c r="G431" s="463"/>
      <c r="H431" s="464"/>
      <c r="I431" s="464"/>
      <c r="J431" s="464"/>
      <c r="K431" s="464"/>
      <c r="L431" s="464"/>
      <c r="M431" s="464"/>
      <c r="N431" s="464"/>
      <c r="O431" s="464"/>
      <c r="P431" s="464"/>
      <c r="Q431" s="464"/>
      <c r="R431" s="473">
        <f t="shared" si="346"/>
        <v>0</v>
      </c>
      <c r="S431" s="437"/>
      <c r="T431" s="466" t="str">
        <f t="shared" si="347"/>
        <v>--</v>
      </c>
      <c r="U431" s="467"/>
      <c r="V431" s="467"/>
      <c r="W431" s="467"/>
      <c r="X431" s="468"/>
      <c r="Y431" s="469" t="str">
        <f t="shared" si="344"/>
        <v>-</v>
      </c>
      <c r="Z431" s="467"/>
      <c r="AA431" s="467"/>
      <c r="AB431" s="467"/>
      <c r="AC431" s="470"/>
    </row>
    <row r="432" spans="1:29" ht="12.75" customHeight="1" x14ac:dyDescent="0.25">
      <c r="A432" s="458" t="s">
        <v>287</v>
      </c>
      <c r="B432" s="459"/>
      <c r="C432" s="459"/>
      <c r="D432" s="472"/>
      <c r="E432" s="462"/>
      <c r="F432" s="536"/>
      <c r="G432" s="463"/>
      <c r="H432" s="464"/>
      <c r="I432" s="464"/>
      <c r="J432" s="464"/>
      <c r="K432" s="464"/>
      <c r="L432" s="464"/>
      <c r="M432" s="464"/>
      <c r="N432" s="464"/>
      <c r="O432" s="464"/>
      <c r="P432" s="464"/>
      <c r="Q432" s="464"/>
      <c r="R432" s="473">
        <f t="shared" si="346"/>
        <v>0</v>
      </c>
      <c r="S432" s="437"/>
      <c r="T432" s="466" t="str">
        <f t="shared" si="347"/>
        <v>--</v>
      </c>
      <c r="U432" s="467"/>
      <c r="V432" s="467"/>
      <c r="W432" s="467"/>
      <c r="X432" s="468"/>
      <c r="Y432" s="469" t="str">
        <f t="shared" si="344"/>
        <v>-</v>
      </c>
      <c r="Z432" s="467"/>
      <c r="AA432" s="467"/>
      <c r="AB432" s="467"/>
      <c r="AC432" s="470"/>
    </row>
    <row r="433" spans="1:29" ht="12.75" customHeight="1" x14ac:dyDescent="0.25">
      <c r="A433" s="458" t="s">
        <v>287</v>
      </c>
      <c r="B433" s="459"/>
      <c r="C433" s="459"/>
      <c r="D433" s="472"/>
      <c r="E433" s="462"/>
      <c r="F433" s="536"/>
      <c r="G433" s="463"/>
      <c r="H433" s="464"/>
      <c r="I433" s="464"/>
      <c r="J433" s="464"/>
      <c r="K433" s="464"/>
      <c r="L433" s="464"/>
      <c r="M433" s="464"/>
      <c r="N433" s="464"/>
      <c r="O433" s="464"/>
      <c r="P433" s="464"/>
      <c r="Q433" s="464"/>
      <c r="R433" s="473">
        <f t="shared" si="346"/>
        <v>0</v>
      </c>
      <c r="S433" s="437"/>
      <c r="T433" s="466" t="str">
        <f t="shared" si="347"/>
        <v>--</v>
      </c>
      <c r="U433" s="467"/>
      <c r="V433" s="467"/>
      <c r="W433" s="467"/>
      <c r="X433" s="468"/>
      <c r="Y433" s="469" t="str">
        <f t="shared" si="344"/>
        <v>-</v>
      </c>
      <c r="Z433" s="467"/>
      <c r="AA433" s="467"/>
      <c r="AB433" s="467"/>
      <c r="AC433" s="470"/>
    </row>
    <row r="434" spans="1:29" ht="12.75" customHeight="1" x14ac:dyDescent="0.25">
      <c r="A434" s="458" t="s">
        <v>287</v>
      </c>
      <c r="B434" s="459"/>
      <c r="C434" s="459"/>
      <c r="D434" s="472"/>
      <c r="E434" s="462"/>
      <c r="F434" s="536"/>
      <c r="G434" s="463"/>
      <c r="H434" s="464"/>
      <c r="I434" s="464"/>
      <c r="J434" s="464"/>
      <c r="K434" s="464"/>
      <c r="L434" s="464"/>
      <c r="M434" s="464"/>
      <c r="N434" s="464"/>
      <c r="O434" s="464"/>
      <c r="P434" s="464"/>
      <c r="Q434" s="464"/>
      <c r="R434" s="473">
        <f t="shared" si="346"/>
        <v>0</v>
      </c>
      <c r="S434" s="437"/>
      <c r="T434" s="466" t="str">
        <f t="shared" si="347"/>
        <v>--</v>
      </c>
      <c r="U434" s="467"/>
      <c r="V434" s="467"/>
      <c r="W434" s="467"/>
      <c r="X434" s="468"/>
      <c r="Y434" s="469" t="str">
        <f t="shared" si="344"/>
        <v>-</v>
      </c>
      <c r="Z434" s="467"/>
      <c r="AA434" s="467"/>
      <c r="AB434" s="467"/>
      <c r="AC434" s="470"/>
    </row>
    <row r="435" spans="1:29" ht="12.75" customHeight="1" x14ac:dyDescent="0.25">
      <c r="A435" s="458" t="s">
        <v>287</v>
      </c>
      <c r="B435" s="459"/>
      <c r="C435" s="459"/>
      <c r="D435" s="472"/>
      <c r="E435" s="462"/>
      <c r="F435" s="536"/>
      <c r="G435" s="463"/>
      <c r="H435" s="464"/>
      <c r="I435" s="464"/>
      <c r="J435" s="464"/>
      <c r="K435" s="464"/>
      <c r="L435" s="464"/>
      <c r="M435" s="464"/>
      <c r="N435" s="464"/>
      <c r="O435" s="464"/>
      <c r="P435" s="464"/>
      <c r="Q435" s="464"/>
      <c r="R435" s="473">
        <f t="shared" si="346"/>
        <v>0</v>
      </c>
      <c r="S435" s="437"/>
      <c r="T435" s="466" t="str">
        <f t="shared" si="347"/>
        <v>--</v>
      </c>
      <c r="U435" s="467"/>
      <c r="V435" s="467"/>
      <c r="W435" s="467"/>
      <c r="X435" s="468"/>
      <c r="Y435" s="469" t="str">
        <f t="shared" si="344"/>
        <v>-</v>
      </c>
      <c r="Z435" s="467"/>
      <c r="AA435" s="467"/>
      <c r="AB435" s="467"/>
      <c r="AC435" s="470"/>
    </row>
    <row r="436" spans="1:29" ht="12.75" customHeight="1" x14ac:dyDescent="0.25">
      <c r="A436" s="458" t="s">
        <v>287</v>
      </c>
      <c r="B436" s="459"/>
      <c r="C436" s="459"/>
      <c r="D436" s="472"/>
      <c r="E436" s="462"/>
      <c r="F436" s="536"/>
      <c r="G436" s="463"/>
      <c r="H436" s="464"/>
      <c r="I436" s="464"/>
      <c r="J436" s="464"/>
      <c r="K436" s="464"/>
      <c r="L436" s="464"/>
      <c r="M436" s="464"/>
      <c r="N436" s="464"/>
      <c r="O436" s="464"/>
      <c r="P436" s="464"/>
      <c r="Q436" s="464"/>
      <c r="R436" s="473">
        <f t="shared" si="346"/>
        <v>0</v>
      </c>
      <c r="S436" s="437"/>
      <c r="T436" s="466" t="str">
        <f t="shared" si="347"/>
        <v>--</v>
      </c>
      <c r="U436" s="467"/>
      <c r="V436" s="467"/>
      <c r="W436" s="467"/>
      <c r="X436" s="468"/>
      <c r="Y436" s="469" t="str">
        <f t="shared" si="344"/>
        <v>-</v>
      </c>
      <c r="Z436" s="467"/>
      <c r="AA436" s="467"/>
      <c r="AB436" s="467"/>
      <c r="AC436" s="470"/>
    </row>
    <row r="437" spans="1:29" ht="12.75" customHeight="1" x14ac:dyDescent="0.25">
      <c r="A437" s="458" t="s">
        <v>287</v>
      </c>
      <c r="B437" s="459"/>
      <c r="C437" s="459"/>
      <c r="D437" s="472"/>
      <c r="E437" s="462"/>
      <c r="F437" s="536"/>
      <c r="G437" s="463"/>
      <c r="H437" s="464"/>
      <c r="I437" s="464"/>
      <c r="J437" s="464"/>
      <c r="K437" s="464"/>
      <c r="L437" s="464"/>
      <c r="M437" s="464"/>
      <c r="N437" s="464"/>
      <c r="O437" s="464"/>
      <c r="P437" s="464"/>
      <c r="Q437" s="464"/>
      <c r="R437" s="473">
        <f t="shared" si="346"/>
        <v>0</v>
      </c>
      <c r="S437" s="437"/>
      <c r="T437" s="466" t="str">
        <f t="shared" si="347"/>
        <v>--</v>
      </c>
      <c r="U437" s="467"/>
      <c r="V437" s="467"/>
      <c r="W437" s="467"/>
      <c r="X437" s="468"/>
      <c r="Y437" s="469" t="str">
        <f t="shared" si="344"/>
        <v>-</v>
      </c>
      <c r="Z437" s="467"/>
      <c r="AA437" s="467"/>
      <c r="AB437" s="467"/>
      <c r="AC437" s="470"/>
    </row>
    <row r="438" spans="1:29" ht="12.75" customHeight="1" x14ac:dyDescent="0.25">
      <c r="A438" s="458" t="s">
        <v>287</v>
      </c>
      <c r="B438" s="459"/>
      <c r="C438" s="459"/>
      <c r="D438" s="472"/>
      <c r="E438" s="462"/>
      <c r="F438" s="536"/>
      <c r="G438" s="463"/>
      <c r="H438" s="464"/>
      <c r="I438" s="464"/>
      <c r="J438" s="464"/>
      <c r="K438" s="464"/>
      <c r="L438" s="464"/>
      <c r="M438" s="464"/>
      <c r="N438" s="464"/>
      <c r="O438" s="464"/>
      <c r="P438" s="464"/>
      <c r="Q438" s="464"/>
      <c r="R438" s="473">
        <f t="shared" si="346"/>
        <v>0</v>
      </c>
      <c r="S438" s="437"/>
      <c r="T438" s="466" t="str">
        <f t="shared" si="347"/>
        <v>--</v>
      </c>
      <c r="U438" s="467"/>
      <c r="V438" s="467"/>
      <c r="W438" s="467"/>
      <c r="X438" s="468"/>
      <c r="Y438" s="469" t="str">
        <f t="shared" si="344"/>
        <v>-</v>
      </c>
      <c r="Z438" s="467"/>
      <c r="AA438" s="467"/>
      <c r="AB438" s="467"/>
      <c r="AC438" s="470"/>
    </row>
    <row r="439" spans="1:29" ht="12.75" customHeight="1" x14ac:dyDescent="0.25">
      <c r="A439" s="458" t="s">
        <v>287</v>
      </c>
      <c r="B439" s="459"/>
      <c r="C439" s="459"/>
      <c r="D439" s="472"/>
      <c r="E439" s="462"/>
      <c r="F439" s="536"/>
      <c r="G439" s="463"/>
      <c r="H439" s="464"/>
      <c r="I439" s="464"/>
      <c r="J439" s="464"/>
      <c r="K439" s="464"/>
      <c r="L439" s="464"/>
      <c r="M439" s="464"/>
      <c r="N439" s="464"/>
      <c r="O439" s="464"/>
      <c r="P439" s="464"/>
      <c r="Q439" s="464"/>
      <c r="R439" s="473">
        <f t="shared" si="346"/>
        <v>0</v>
      </c>
      <c r="S439" s="437"/>
      <c r="T439" s="466" t="str">
        <f t="shared" si="347"/>
        <v>--</v>
      </c>
      <c r="U439" s="467"/>
      <c r="V439" s="467"/>
      <c r="W439" s="467"/>
      <c r="X439" s="468"/>
      <c r="Y439" s="469" t="str">
        <f t="shared" si="344"/>
        <v>-</v>
      </c>
      <c r="Z439" s="467"/>
      <c r="AA439" s="467"/>
      <c r="AB439" s="467"/>
      <c r="AC439" s="470"/>
    </row>
    <row r="440" spans="1:29" ht="12.75" customHeight="1" x14ac:dyDescent="0.25">
      <c r="A440" s="458" t="s">
        <v>287</v>
      </c>
      <c r="B440" s="459"/>
      <c r="C440" s="459"/>
      <c r="D440" s="472"/>
      <c r="E440" s="462"/>
      <c r="F440" s="536"/>
      <c r="G440" s="463"/>
      <c r="H440" s="464"/>
      <c r="I440" s="464"/>
      <c r="J440" s="464"/>
      <c r="K440" s="464"/>
      <c r="L440" s="464"/>
      <c r="M440" s="464"/>
      <c r="N440" s="464"/>
      <c r="O440" s="464"/>
      <c r="P440" s="464"/>
      <c r="Q440" s="464"/>
      <c r="R440" s="473">
        <f t="shared" si="346"/>
        <v>0</v>
      </c>
      <c r="S440" s="437"/>
      <c r="T440" s="466" t="str">
        <f t="shared" si="347"/>
        <v>--</v>
      </c>
      <c r="U440" s="467"/>
      <c r="V440" s="467"/>
      <c r="W440" s="467"/>
      <c r="X440" s="468"/>
      <c r="Y440" s="469" t="str">
        <f t="shared" si="344"/>
        <v>-</v>
      </c>
      <c r="Z440" s="467"/>
      <c r="AA440" s="467"/>
      <c r="AB440" s="467"/>
      <c r="AC440" s="470"/>
    </row>
    <row r="441" spans="1:29" ht="12.75" customHeight="1" x14ac:dyDescent="0.25">
      <c r="A441" s="458" t="s">
        <v>287</v>
      </c>
      <c r="B441" s="459"/>
      <c r="C441" s="459"/>
      <c r="D441" s="472"/>
      <c r="E441" s="462"/>
      <c r="F441" s="536"/>
      <c r="G441" s="463"/>
      <c r="H441" s="464"/>
      <c r="I441" s="464"/>
      <c r="J441" s="464"/>
      <c r="K441" s="464"/>
      <c r="L441" s="464"/>
      <c r="M441" s="464"/>
      <c r="N441" s="464"/>
      <c r="O441" s="464"/>
      <c r="P441" s="464"/>
      <c r="Q441" s="464"/>
      <c r="R441" s="473">
        <f t="shared" si="346"/>
        <v>0</v>
      </c>
      <c r="S441" s="437"/>
      <c r="T441" s="466" t="str">
        <f t="shared" si="347"/>
        <v>--</v>
      </c>
      <c r="U441" s="467"/>
      <c r="V441" s="467"/>
      <c r="W441" s="467"/>
      <c r="X441" s="468"/>
      <c r="Y441" s="469" t="str">
        <f t="shared" si="344"/>
        <v>-</v>
      </c>
      <c r="Z441" s="467"/>
      <c r="AA441" s="467"/>
      <c r="AB441" s="467"/>
      <c r="AC441" s="470"/>
    </row>
    <row r="442" spans="1:29" ht="12.75" customHeight="1" x14ac:dyDescent="0.25">
      <c r="A442" s="458" t="s">
        <v>287</v>
      </c>
      <c r="B442" s="459"/>
      <c r="C442" s="459"/>
      <c r="D442" s="472"/>
      <c r="E442" s="462"/>
      <c r="F442" s="536"/>
      <c r="G442" s="463"/>
      <c r="H442" s="464"/>
      <c r="I442" s="464"/>
      <c r="J442" s="464"/>
      <c r="K442" s="464"/>
      <c r="L442" s="464"/>
      <c r="M442" s="464"/>
      <c r="N442" s="464"/>
      <c r="O442" s="464"/>
      <c r="P442" s="464"/>
      <c r="Q442" s="464"/>
      <c r="R442" s="473">
        <f t="shared" si="346"/>
        <v>0</v>
      </c>
      <c r="S442" s="437"/>
      <c r="T442" s="466" t="str">
        <f t="shared" si="347"/>
        <v>--</v>
      </c>
      <c r="U442" s="467"/>
      <c r="V442" s="467"/>
      <c r="W442" s="467"/>
      <c r="X442" s="468"/>
      <c r="Y442" s="469" t="str">
        <f t="shared" si="344"/>
        <v>-</v>
      </c>
      <c r="Z442" s="467"/>
      <c r="AA442" s="467"/>
      <c r="AB442" s="467"/>
      <c r="AC442" s="470"/>
    </row>
    <row r="443" spans="1:29" ht="12.75" customHeight="1" x14ac:dyDescent="0.25">
      <c r="A443" s="458" t="s">
        <v>287</v>
      </c>
      <c r="B443" s="459"/>
      <c r="C443" s="459"/>
      <c r="D443" s="472"/>
      <c r="E443" s="462"/>
      <c r="F443" s="536"/>
      <c r="G443" s="463"/>
      <c r="H443" s="464"/>
      <c r="I443" s="464"/>
      <c r="J443" s="464"/>
      <c r="K443" s="464"/>
      <c r="L443" s="464"/>
      <c r="M443" s="464"/>
      <c r="N443" s="464"/>
      <c r="O443" s="464"/>
      <c r="P443" s="464"/>
      <c r="Q443" s="464"/>
      <c r="R443" s="473">
        <f t="shared" si="346"/>
        <v>0</v>
      </c>
      <c r="S443" s="437"/>
      <c r="T443" s="466" t="str">
        <f t="shared" si="347"/>
        <v>--</v>
      </c>
      <c r="U443" s="467"/>
      <c r="V443" s="467"/>
      <c r="W443" s="467"/>
      <c r="X443" s="468"/>
      <c r="Y443" s="469" t="str">
        <f t="shared" si="344"/>
        <v>-</v>
      </c>
      <c r="Z443" s="467"/>
      <c r="AA443" s="467"/>
      <c r="AB443" s="467"/>
      <c r="AC443" s="470"/>
    </row>
    <row r="444" spans="1:29" ht="12.75" customHeight="1" x14ac:dyDescent="0.25">
      <c r="A444" s="458" t="s">
        <v>287</v>
      </c>
      <c r="B444" s="459"/>
      <c r="C444" s="459"/>
      <c r="D444" s="472"/>
      <c r="E444" s="462"/>
      <c r="F444" s="536"/>
      <c r="G444" s="463"/>
      <c r="H444" s="464"/>
      <c r="I444" s="464"/>
      <c r="J444" s="464"/>
      <c r="K444" s="464"/>
      <c r="L444" s="464"/>
      <c r="M444" s="464"/>
      <c r="N444" s="464"/>
      <c r="O444" s="464"/>
      <c r="P444" s="464"/>
      <c r="Q444" s="464"/>
      <c r="R444" s="473">
        <f t="shared" si="346"/>
        <v>0</v>
      </c>
      <c r="S444" s="437"/>
      <c r="T444" s="466" t="str">
        <f t="shared" si="347"/>
        <v>--</v>
      </c>
      <c r="U444" s="467"/>
      <c r="V444" s="467"/>
      <c r="W444" s="467"/>
      <c r="X444" s="468"/>
      <c r="Y444" s="469" t="str">
        <f t="shared" si="344"/>
        <v>-</v>
      </c>
      <c r="Z444" s="467"/>
      <c r="AA444" s="467"/>
      <c r="AB444" s="467"/>
      <c r="AC444" s="470"/>
    </row>
    <row r="445" spans="1:29" ht="12.75" customHeight="1" x14ac:dyDescent="0.25">
      <c r="A445" s="458" t="s">
        <v>287</v>
      </c>
      <c r="B445" s="459"/>
      <c r="C445" s="459"/>
      <c r="D445" s="472"/>
      <c r="E445" s="462"/>
      <c r="F445" s="536"/>
      <c r="G445" s="463"/>
      <c r="H445" s="464"/>
      <c r="I445" s="464"/>
      <c r="J445" s="464"/>
      <c r="K445" s="464"/>
      <c r="L445" s="464"/>
      <c r="M445" s="464"/>
      <c r="N445" s="464"/>
      <c r="O445" s="464"/>
      <c r="P445" s="464"/>
      <c r="Q445" s="464"/>
      <c r="R445" s="473">
        <f t="shared" si="346"/>
        <v>0</v>
      </c>
      <c r="S445" s="437"/>
      <c r="T445" s="466" t="str">
        <f t="shared" si="347"/>
        <v>--</v>
      </c>
      <c r="U445" s="467"/>
      <c r="V445" s="467"/>
      <c r="W445" s="467"/>
      <c r="X445" s="468"/>
      <c r="Y445" s="469" t="str">
        <f t="shared" si="344"/>
        <v>-</v>
      </c>
      <c r="Z445" s="467"/>
      <c r="AA445" s="467"/>
      <c r="AB445" s="467"/>
      <c r="AC445" s="470"/>
    </row>
    <row r="446" spans="1:29" ht="12.75" customHeight="1" x14ac:dyDescent="0.25">
      <c r="A446" s="458" t="s">
        <v>287</v>
      </c>
      <c r="B446" s="459"/>
      <c r="C446" s="459"/>
      <c r="D446" s="472"/>
      <c r="E446" s="462"/>
      <c r="F446" s="536"/>
      <c r="G446" s="463"/>
      <c r="H446" s="464"/>
      <c r="I446" s="464"/>
      <c r="J446" s="464"/>
      <c r="K446" s="464"/>
      <c r="L446" s="464"/>
      <c r="M446" s="464"/>
      <c r="N446" s="464"/>
      <c r="O446" s="464"/>
      <c r="P446" s="464"/>
      <c r="Q446" s="464"/>
      <c r="R446" s="473">
        <f t="shared" si="346"/>
        <v>0</v>
      </c>
      <c r="S446" s="437"/>
      <c r="T446" s="466" t="str">
        <f t="shared" si="347"/>
        <v>--</v>
      </c>
      <c r="U446" s="467"/>
      <c r="V446" s="467"/>
      <c r="W446" s="467"/>
      <c r="X446" s="468"/>
      <c r="Y446" s="469" t="str">
        <f t="shared" si="344"/>
        <v>-</v>
      </c>
      <c r="Z446" s="467"/>
      <c r="AA446" s="467"/>
      <c r="AB446" s="467"/>
      <c r="AC446" s="470"/>
    </row>
    <row r="447" spans="1:29" ht="12.75" customHeight="1" x14ac:dyDescent="0.25">
      <c r="A447" s="458" t="s">
        <v>287</v>
      </c>
      <c r="B447" s="459"/>
      <c r="C447" s="459"/>
      <c r="D447" s="472"/>
      <c r="E447" s="462"/>
      <c r="F447" s="536"/>
      <c r="G447" s="463"/>
      <c r="H447" s="464"/>
      <c r="I447" s="464"/>
      <c r="J447" s="464"/>
      <c r="K447" s="464"/>
      <c r="L447" s="464"/>
      <c r="M447" s="464"/>
      <c r="N447" s="464"/>
      <c r="O447" s="464"/>
      <c r="P447" s="464"/>
      <c r="Q447" s="464"/>
      <c r="R447" s="473">
        <f t="shared" si="346"/>
        <v>0</v>
      </c>
      <c r="S447" s="437"/>
      <c r="T447" s="466" t="str">
        <f t="shared" si="347"/>
        <v>--</v>
      </c>
      <c r="U447" s="467"/>
      <c r="V447" s="467"/>
      <c r="W447" s="467"/>
      <c r="X447" s="468"/>
      <c r="Y447" s="469" t="str">
        <f t="shared" si="344"/>
        <v>-</v>
      </c>
      <c r="Z447" s="467"/>
      <c r="AA447" s="467"/>
      <c r="AB447" s="467"/>
      <c r="AC447" s="470"/>
    </row>
    <row r="448" spans="1:29" ht="12.75" customHeight="1" x14ac:dyDescent="0.25">
      <c r="A448" s="458" t="s">
        <v>287</v>
      </c>
      <c r="B448" s="459"/>
      <c r="C448" s="459"/>
      <c r="D448" s="472"/>
      <c r="E448" s="462"/>
      <c r="F448" s="536"/>
      <c r="G448" s="463"/>
      <c r="H448" s="464"/>
      <c r="I448" s="464"/>
      <c r="J448" s="464"/>
      <c r="K448" s="464"/>
      <c r="L448" s="464"/>
      <c r="M448" s="464"/>
      <c r="N448" s="464"/>
      <c r="O448" s="464"/>
      <c r="P448" s="464"/>
      <c r="Q448" s="464"/>
      <c r="R448" s="473">
        <f t="shared" si="346"/>
        <v>0</v>
      </c>
      <c r="S448" s="437"/>
      <c r="T448" s="466" t="str">
        <f t="shared" si="347"/>
        <v>--</v>
      </c>
      <c r="U448" s="467"/>
      <c r="V448" s="467"/>
      <c r="W448" s="467"/>
      <c r="X448" s="468"/>
      <c r="Y448" s="469" t="str">
        <f t="shared" si="344"/>
        <v>-</v>
      </c>
      <c r="Z448" s="467"/>
      <c r="AA448" s="467"/>
      <c r="AB448" s="467"/>
      <c r="AC448" s="470"/>
    </row>
    <row r="449" spans="1:29" ht="12.75" customHeight="1" x14ac:dyDescent="0.25">
      <c r="A449" s="458" t="s">
        <v>287</v>
      </c>
      <c r="B449" s="459"/>
      <c r="C449" s="459"/>
      <c r="D449" s="472"/>
      <c r="E449" s="462"/>
      <c r="F449" s="536"/>
      <c r="G449" s="463"/>
      <c r="H449" s="464"/>
      <c r="I449" s="464"/>
      <c r="J449" s="464"/>
      <c r="K449" s="464"/>
      <c r="L449" s="464"/>
      <c r="M449" s="464"/>
      <c r="N449" s="464"/>
      <c r="O449" s="464"/>
      <c r="P449" s="464"/>
      <c r="Q449" s="464"/>
      <c r="R449" s="473">
        <f t="shared" si="346"/>
        <v>0</v>
      </c>
      <c r="S449" s="437"/>
      <c r="T449" s="466" t="str">
        <f t="shared" si="347"/>
        <v>--</v>
      </c>
      <c r="U449" s="467"/>
      <c r="V449" s="467"/>
      <c r="W449" s="467"/>
      <c r="X449" s="468"/>
      <c r="Y449" s="469" t="str">
        <f t="shared" si="344"/>
        <v>-</v>
      </c>
      <c r="Z449" s="467"/>
      <c r="AA449" s="467"/>
      <c r="AB449" s="467"/>
      <c r="AC449" s="470"/>
    </row>
    <row r="450" spans="1:29" ht="12.75" customHeight="1" x14ac:dyDescent="0.25">
      <c r="A450" s="458" t="s">
        <v>287</v>
      </c>
      <c r="B450" s="459"/>
      <c r="C450" s="459"/>
      <c r="D450" s="472"/>
      <c r="E450" s="462"/>
      <c r="F450" s="536"/>
      <c r="G450" s="463"/>
      <c r="H450" s="464"/>
      <c r="I450" s="464"/>
      <c r="J450" s="464"/>
      <c r="K450" s="464"/>
      <c r="L450" s="464"/>
      <c r="M450" s="464"/>
      <c r="N450" s="464"/>
      <c r="O450" s="464"/>
      <c r="P450" s="464"/>
      <c r="Q450" s="464"/>
      <c r="R450" s="473">
        <f t="shared" si="346"/>
        <v>0</v>
      </c>
      <c r="S450" s="437"/>
      <c r="T450" s="466" t="str">
        <f t="shared" si="347"/>
        <v>--</v>
      </c>
      <c r="U450" s="467"/>
      <c r="V450" s="467"/>
      <c r="W450" s="467"/>
      <c r="X450" s="468"/>
      <c r="Y450" s="469" t="str">
        <f t="shared" si="344"/>
        <v>-</v>
      </c>
      <c r="Z450" s="467"/>
      <c r="AA450" s="467"/>
      <c r="AB450" s="467"/>
      <c r="AC450" s="470"/>
    </row>
    <row r="451" spans="1:29" ht="12.75" customHeight="1" x14ac:dyDescent="0.25">
      <c r="A451" s="458" t="s">
        <v>287</v>
      </c>
      <c r="B451" s="459"/>
      <c r="C451" s="459"/>
      <c r="D451" s="472"/>
      <c r="E451" s="462"/>
      <c r="F451" s="536"/>
      <c r="G451" s="463"/>
      <c r="H451" s="464"/>
      <c r="I451" s="464"/>
      <c r="J451" s="464"/>
      <c r="K451" s="464"/>
      <c r="L451" s="464"/>
      <c r="M451" s="464"/>
      <c r="N451" s="464"/>
      <c r="O451" s="464"/>
      <c r="P451" s="464"/>
      <c r="Q451" s="464"/>
      <c r="R451" s="473">
        <f t="shared" si="346"/>
        <v>0</v>
      </c>
      <c r="S451" s="437"/>
      <c r="T451" s="466" t="str">
        <f t="shared" si="347"/>
        <v>--</v>
      </c>
      <c r="U451" s="467"/>
      <c r="V451" s="467"/>
      <c r="W451" s="467"/>
      <c r="X451" s="468"/>
      <c r="Y451" s="469" t="str">
        <f t="shared" si="344"/>
        <v>-</v>
      </c>
      <c r="Z451" s="467"/>
      <c r="AA451" s="467"/>
      <c r="AB451" s="467"/>
      <c r="AC451" s="470"/>
    </row>
    <row r="452" spans="1:29" ht="12.75" customHeight="1" x14ac:dyDescent="0.25">
      <c r="A452" s="458" t="s">
        <v>287</v>
      </c>
      <c r="B452" s="459"/>
      <c r="C452" s="459"/>
      <c r="D452" s="472"/>
      <c r="E452" s="462"/>
      <c r="F452" s="536"/>
      <c r="G452" s="463"/>
      <c r="H452" s="464"/>
      <c r="I452" s="464"/>
      <c r="J452" s="464"/>
      <c r="K452" s="464"/>
      <c r="L452" s="464"/>
      <c r="M452" s="464"/>
      <c r="N452" s="464"/>
      <c r="O452" s="464"/>
      <c r="P452" s="464"/>
      <c r="Q452" s="464"/>
      <c r="R452" s="473">
        <f t="shared" si="346"/>
        <v>0</v>
      </c>
      <c r="S452" s="437"/>
      <c r="T452" s="466" t="str">
        <f t="shared" si="347"/>
        <v>--</v>
      </c>
      <c r="U452" s="467"/>
      <c r="V452" s="467"/>
      <c r="W452" s="467"/>
      <c r="X452" s="468"/>
      <c r="Y452" s="469" t="str">
        <f t="shared" si="344"/>
        <v>-</v>
      </c>
      <c r="Z452" s="467"/>
      <c r="AA452" s="467"/>
      <c r="AB452" s="467"/>
      <c r="AC452" s="470"/>
    </row>
    <row r="453" spans="1:29" ht="12.75" customHeight="1" x14ac:dyDescent="0.25">
      <c r="A453" s="458" t="s">
        <v>287</v>
      </c>
      <c r="B453" s="459"/>
      <c r="C453" s="459"/>
      <c r="D453" s="472"/>
      <c r="E453" s="462"/>
      <c r="F453" s="536"/>
      <c r="G453" s="463"/>
      <c r="H453" s="464"/>
      <c r="I453" s="464"/>
      <c r="J453" s="464"/>
      <c r="K453" s="464"/>
      <c r="L453" s="464"/>
      <c r="M453" s="464"/>
      <c r="N453" s="464"/>
      <c r="O453" s="464"/>
      <c r="P453" s="464"/>
      <c r="Q453" s="464"/>
      <c r="R453" s="473">
        <f t="shared" si="346"/>
        <v>0</v>
      </c>
      <c r="S453" s="437"/>
      <c r="T453" s="466" t="str">
        <f t="shared" si="347"/>
        <v>--</v>
      </c>
      <c r="U453" s="467"/>
      <c r="V453" s="467"/>
      <c r="W453" s="467"/>
      <c r="X453" s="468"/>
      <c r="Y453" s="469" t="str">
        <f t="shared" si="344"/>
        <v>-</v>
      </c>
      <c r="Z453" s="467"/>
      <c r="AA453" s="467"/>
      <c r="AB453" s="467"/>
      <c r="AC453" s="470"/>
    </row>
    <row r="454" spans="1:29" ht="12.75" customHeight="1" x14ac:dyDescent="0.25">
      <c r="A454" s="458" t="s">
        <v>287</v>
      </c>
      <c r="B454" s="459"/>
      <c r="C454" s="459"/>
      <c r="D454" s="472"/>
      <c r="E454" s="462"/>
      <c r="F454" s="536"/>
      <c r="G454" s="463"/>
      <c r="H454" s="464"/>
      <c r="I454" s="464"/>
      <c r="J454" s="464"/>
      <c r="K454" s="464"/>
      <c r="L454" s="464"/>
      <c r="M454" s="464"/>
      <c r="N454" s="464"/>
      <c r="O454" s="464"/>
      <c r="P454" s="464"/>
      <c r="Q454" s="464"/>
      <c r="R454" s="473">
        <f t="shared" si="346"/>
        <v>0</v>
      </c>
      <c r="S454" s="437"/>
      <c r="T454" s="466" t="str">
        <f t="shared" si="347"/>
        <v>--</v>
      </c>
      <c r="U454" s="467"/>
      <c r="V454" s="467"/>
      <c r="W454" s="467"/>
      <c r="X454" s="468"/>
      <c r="Y454" s="469" t="str">
        <f t="shared" si="344"/>
        <v>-</v>
      </c>
      <c r="Z454" s="467"/>
      <c r="AA454" s="467"/>
      <c r="AB454" s="467"/>
      <c r="AC454" s="470"/>
    </row>
    <row r="455" spans="1:29" ht="12.75" customHeight="1" x14ac:dyDescent="0.25">
      <c r="A455" s="458" t="s">
        <v>287</v>
      </c>
      <c r="B455" s="459"/>
      <c r="C455" s="459"/>
      <c r="D455" s="472"/>
      <c r="E455" s="462"/>
      <c r="F455" s="536"/>
      <c r="G455" s="463"/>
      <c r="H455" s="464"/>
      <c r="I455" s="464"/>
      <c r="J455" s="464"/>
      <c r="K455" s="464"/>
      <c r="L455" s="464"/>
      <c r="M455" s="464"/>
      <c r="N455" s="464"/>
      <c r="O455" s="464"/>
      <c r="P455" s="464"/>
      <c r="Q455" s="464"/>
      <c r="R455" s="473">
        <f t="shared" si="346"/>
        <v>0</v>
      </c>
      <c r="S455" s="437"/>
      <c r="T455" s="466" t="str">
        <f t="shared" si="347"/>
        <v>--</v>
      </c>
      <c r="U455" s="467"/>
      <c r="V455" s="467"/>
      <c r="W455" s="467"/>
      <c r="X455" s="468"/>
      <c r="Y455" s="469" t="str">
        <f t="shared" si="344"/>
        <v>-</v>
      </c>
      <c r="Z455" s="467"/>
      <c r="AA455" s="467"/>
      <c r="AB455" s="467"/>
      <c r="AC455" s="470"/>
    </row>
    <row r="456" spans="1:29" ht="12.75" customHeight="1" x14ac:dyDescent="0.25">
      <c r="A456" s="458" t="s">
        <v>287</v>
      </c>
      <c r="B456" s="459"/>
      <c r="C456" s="459"/>
      <c r="D456" s="472"/>
      <c r="E456" s="462"/>
      <c r="F456" s="536"/>
      <c r="G456" s="463"/>
      <c r="H456" s="464"/>
      <c r="I456" s="464"/>
      <c r="J456" s="464"/>
      <c r="K456" s="464"/>
      <c r="L456" s="464"/>
      <c r="M456" s="464"/>
      <c r="N456" s="464"/>
      <c r="O456" s="464"/>
      <c r="P456" s="464"/>
      <c r="Q456" s="464"/>
      <c r="R456" s="473">
        <f t="shared" si="346"/>
        <v>0</v>
      </c>
      <c r="S456" s="437"/>
      <c r="T456" s="466" t="str">
        <f t="shared" si="347"/>
        <v>--</v>
      </c>
      <c r="U456" s="467"/>
      <c r="V456" s="467"/>
      <c r="W456" s="467"/>
      <c r="X456" s="468"/>
      <c r="Y456" s="469" t="str">
        <f t="shared" si="344"/>
        <v>-</v>
      </c>
      <c r="Z456" s="467"/>
      <c r="AA456" s="467"/>
      <c r="AB456" s="467"/>
      <c r="AC456" s="470"/>
    </row>
    <row r="457" spans="1:29" ht="12.75" customHeight="1" x14ac:dyDescent="0.25">
      <c r="A457" s="458" t="s">
        <v>287</v>
      </c>
      <c r="B457" s="459"/>
      <c r="C457" s="459"/>
      <c r="D457" s="472"/>
      <c r="E457" s="462"/>
      <c r="F457" s="536"/>
      <c r="G457" s="463"/>
      <c r="H457" s="464"/>
      <c r="I457" s="464"/>
      <c r="J457" s="464"/>
      <c r="K457" s="464"/>
      <c r="L457" s="464"/>
      <c r="M457" s="464"/>
      <c r="N457" s="464"/>
      <c r="O457" s="464"/>
      <c r="P457" s="464"/>
      <c r="Q457" s="464"/>
      <c r="R457" s="473">
        <f t="shared" si="346"/>
        <v>0</v>
      </c>
      <c r="S457" s="437"/>
      <c r="T457" s="466" t="str">
        <f t="shared" si="347"/>
        <v>--</v>
      </c>
      <c r="U457" s="467"/>
      <c r="V457" s="467"/>
      <c r="W457" s="467"/>
      <c r="X457" s="468"/>
      <c r="Y457" s="469" t="str">
        <f t="shared" si="344"/>
        <v>-</v>
      </c>
      <c r="Z457" s="467"/>
      <c r="AA457" s="467"/>
      <c r="AB457" s="467"/>
      <c r="AC457" s="470"/>
    </row>
    <row r="458" spans="1:29" ht="12.75" customHeight="1" x14ac:dyDescent="0.25">
      <c r="A458" s="458" t="s">
        <v>287</v>
      </c>
      <c r="B458" s="459"/>
      <c r="C458" s="459"/>
      <c r="D458" s="472"/>
      <c r="E458" s="462"/>
      <c r="F458" s="536"/>
      <c r="G458" s="463"/>
      <c r="H458" s="464"/>
      <c r="I458" s="464"/>
      <c r="J458" s="464"/>
      <c r="K458" s="464"/>
      <c r="L458" s="464"/>
      <c r="M458" s="464"/>
      <c r="N458" s="464"/>
      <c r="O458" s="464"/>
      <c r="P458" s="464"/>
      <c r="Q458" s="464"/>
      <c r="R458" s="473">
        <f t="shared" si="346"/>
        <v>0</v>
      </c>
      <c r="S458" s="437"/>
      <c r="T458" s="466" t="str">
        <f t="shared" si="347"/>
        <v>--</v>
      </c>
      <c r="U458" s="467"/>
      <c r="V458" s="467"/>
      <c r="W458" s="467"/>
      <c r="X458" s="468"/>
      <c r="Y458" s="469" t="str">
        <f t="shared" si="344"/>
        <v>-</v>
      </c>
      <c r="Z458" s="467"/>
      <c r="AA458" s="467"/>
      <c r="AB458" s="467"/>
      <c r="AC458" s="470"/>
    </row>
    <row r="459" spans="1:29" ht="12.75" customHeight="1" x14ac:dyDescent="0.25">
      <c r="A459" s="458" t="s">
        <v>287</v>
      </c>
      <c r="B459" s="459"/>
      <c r="C459" s="459"/>
      <c r="D459" s="472"/>
      <c r="E459" s="462"/>
      <c r="F459" s="536"/>
      <c r="G459" s="463"/>
      <c r="H459" s="464"/>
      <c r="I459" s="464"/>
      <c r="J459" s="464"/>
      <c r="K459" s="464"/>
      <c r="L459" s="464"/>
      <c r="M459" s="464"/>
      <c r="N459" s="464"/>
      <c r="O459" s="464"/>
      <c r="P459" s="464"/>
      <c r="Q459" s="464"/>
      <c r="R459" s="473">
        <f t="shared" si="346"/>
        <v>0</v>
      </c>
      <c r="S459" s="437"/>
      <c r="T459" s="466" t="str">
        <f t="shared" si="347"/>
        <v>--</v>
      </c>
      <c r="U459" s="467"/>
      <c r="V459" s="467"/>
      <c r="W459" s="467"/>
      <c r="X459" s="468"/>
      <c r="Y459" s="469" t="str">
        <f t="shared" si="344"/>
        <v>-</v>
      </c>
      <c r="Z459" s="467"/>
      <c r="AA459" s="467"/>
      <c r="AB459" s="467"/>
      <c r="AC459" s="470"/>
    </row>
    <row r="460" spans="1:29" ht="12.75" customHeight="1" x14ac:dyDescent="0.25">
      <c r="A460" s="458" t="s">
        <v>287</v>
      </c>
      <c r="B460" s="459"/>
      <c r="C460" s="459"/>
      <c r="D460" s="472"/>
      <c r="E460" s="462"/>
      <c r="F460" s="536"/>
      <c r="G460" s="463"/>
      <c r="H460" s="464"/>
      <c r="I460" s="464"/>
      <c r="J460" s="464"/>
      <c r="K460" s="464"/>
      <c r="L460" s="464"/>
      <c r="M460" s="464"/>
      <c r="N460" s="464"/>
      <c r="O460" s="464"/>
      <c r="P460" s="464"/>
      <c r="Q460" s="464"/>
      <c r="R460" s="473">
        <f t="shared" si="346"/>
        <v>0</v>
      </c>
      <c r="S460" s="437"/>
      <c r="T460" s="466" t="str">
        <f t="shared" si="347"/>
        <v>--</v>
      </c>
      <c r="U460" s="467"/>
      <c r="V460" s="467"/>
      <c r="W460" s="467"/>
      <c r="X460" s="468"/>
      <c r="Y460" s="469" t="str">
        <f t="shared" si="344"/>
        <v>-</v>
      </c>
      <c r="Z460" s="467"/>
      <c r="AA460" s="467"/>
      <c r="AB460" s="467"/>
      <c r="AC460" s="470"/>
    </row>
    <row r="461" spans="1:29" ht="12.75" customHeight="1" x14ac:dyDescent="0.25">
      <c r="A461" s="458" t="s">
        <v>287</v>
      </c>
      <c r="B461" s="459"/>
      <c r="C461" s="459"/>
      <c r="D461" s="472"/>
      <c r="E461" s="462"/>
      <c r="F461" s="536"/>
      <c r="G461" s="463"/>
      <c r="H461" s="464"/>
      <c r="I461" s="464"/>
      <c r="J461" s="464"/>
      <c r="K461" s="464"/>
      <c r="L461" s="464"/>
      <c r="M461" s="464"/>
      <c r="N461" s="464"/>
      <c r="O461" s="464"/>
      <c r="P461" s="464"/>
      <c r="Q461" s="464"/>
      <c r="R461" s="473">
        <f t="shared" si="346"/>
        <v>0</v>
      </c>
      <c r="S461" s="437"/>
      <c r="T461" s="466" t="str">
        <f t="shared" si="347"/>
        <v>--</v>
      </c>
      <c r="U461" s="467"/>
      <c r="V461" s="467"/>
      <c r="W461" s="467"/>
      <c r="X461" s="468"/>
      <c r="Y461" s="469" t="str">
        <f t="shared" si="344"/>
        <v>-</v>
      </c>
      <c r="Z461" s="467"/>
      <c r="AA461" s="467"/>
      <c r="AB461" s="467"/>
      <c r="AC461" s="470"/>
    </row>
    <row r="462" spans="1:29" ht="12.75" customHeight="1" x14ac:dyDescent="0.25">
      <c r="A462" s="458" t="s">
        <v>287</v>
      </c>
      <c r="B462" s="459"/>
      <c r="C462" s="459"/>
      <c r="D462" s="472"/>
      <c r="E462" s="462"/>
      <c r="F462" s="536"/>
      <c r="G462" s="463"/>
      <c r="H462" s="464"/>
      <c r="I462" s="464"/>
      <c r="J462" s="464"/>
      <c r="K462" s="464"/>
      <c r="L462" s="464"/>
      <c r="M462" s="464"/>
      <c r="N462" s="464"/>
      <c r="O462" s="464"/>
      <c r="P462" s="464"/>
      <c r="Q462" s="464"/>
      <c r="R462" s="473">
        <f t="shared" ref="R462:R493" si="348">SUM(H462:Q462)</f>
        <v>0</v>
      </c>
      <c r="S462" s="437"/>
      <c r="T462" s="466" t="str">
        <f t="shared" ref="T462:T493" si="349">F462&amp;"-"&amp;G462&amp;"-"&amp;E462</f>
        <v>--</v>
      </c>
      <c r="U462" s="467"/>
      <c r="V462" s="467"/>
      <c r="W462" s="467"/>
      <c r="X462" s="468"/>
      <c r="Y462" s="469" t="str">
        <f t="shared" si="344"/>
        <v>-</v>
      </c>
      <c r="Z462" s="467"/>
      <c r="AA462" s="467"/>
      <c r="AB462" s="467"/>
      <c r="AC462" s="470"/>
    </row>
    <row r="463" spans="1:29" ht="12.75" customHeight="1" x14ac:dyDescent="0.25">
      <c r="A463" s="458" t="s">
        <v>287</v>
      </c>
      <c r="B463" s="459"/>
      <c r="C463" s="459"/>
      <c r="D463" s="472"/>
      <c r="E463" s="462"/>
      <c r="F463" s="536"/>
      <c r="G463" s="463"/>
      <c r="H463" s="464"/>
      <c r="I463" s="464"/>
      <c r="J463" s="464"/>
      <c r="K463" s="464"/>
      <c r="L463" s="464"/>
      <c r="M463" s="464"/>
      <c r="N463" s="464"/>
      <c r="O463" s="464"/>
      <c r="P463" s="464"/>
      <c r="Q463" s="464"/>
      <c r="R463" s="473">
        <f t="shared" si="348"/>
        <v>0</v>
      </c>
      <c r="S463" s="437"/>
      <c r="T463" s="466" t="str">
        <f t="shared" si="349"/>
        <v>--</v>
      </c>
      <c r="U463" s="467"/>
      <c r="V463" s="467"/>
      <c r="W463" s="467"/>
      <c r="X463" s="468"/>
      <c r="Y463" s="469" t="str">
        <f t="shared" si="344"/>
        <v>-</v>
      </c>
      <c r="Z463" s="467"/>
      <c r="AA463" s="467"/>
      <c r="AB463" s="467"/>
      <c r="AC463" s="470"/>
    </row>
    <row r="464" spans="1:29" ht="12.75" customHeight="1" x14ac:dyDescent="0.25">
      <c r="A464" s="458" t="s">
        <v>287</v>
      </c>
      <c r="B464" s="459"/>
      <c r="C464" s="459"/>
      <c r="D464" s="472"/>
      <c r="E464" s="462"/>
      <c r="F464" s="536"/>
      <c r="G464" s="463"/>
      <c r="H464" s="464"/>
      <c r="I464" s="464"/>
      <c r="J464" s="464"/>
      <c r="K464" s="464"/>
      <c r="L464" s="464"/>
      <c r="M464" s="464"/>
      <c r="N464" s="464"/>
      <c r="O464" s="464"/>
      <c r="P464" s="464"/>
      <c r="Q464" s="464"/>
      <c r="R464" s="473">
        <f t="shared" si="348"/>
        <v>0</v>
      </c>
      <c r="S464" s="437"/>
      <c r="T464" s="466" t="str">
        <f t="shared" si="349"/>
        <v>--</v>
      </c>
      <c r="U464" s="467"/>
      <c r="V464" s="467"/>
      <c r="W464" s="467"/>
      <c r="X464" s="468"/>
      <c r="Y464" s="469" t="str">
        <f t="shared" si="344"/>
        <v>-</v>
      </c>
      <c r="Z464" s="467"/>
      <c r="AA464" s="467"/>
      <c r="AB464" s="467"/>
      <c r="AC464" s="470"/>
    </row>
    <row r="465" spans="1:29" ht="12.75" customHeight="1" x14ac:dyDescent="0.25">
      <c r="A465" s="458" t="s">
        <v>287</v>
      </c>
      <c r="B465" s="459"/>
      <c r="C465" s="459"/>
      <c r="D465" s="472"/>
      <c r="E465" s="462"/>
      <c r="F465" s="536"/>
      <c r="G465" s="463"/>
      <c r="H465" s="464"/>
      <c r="I465" s="464"/>
      <c r="J465" s="464"/>
      <c r="K465" s="464"/>
      <c r="L465" s="464"/>
      <c r="M465" s="464"/>
      <c r="N465" s="464"/>
      <c r="O465" s="464"/>
      <c r="P465" s="464"/>
      <c r="Q465" s="464"/>
      <c r="R465" s="473">
        <f t="shared" si="348"/>
        <v>0</v>
      </c>
      <c r="S465" s="437"/>
      <c r="T465" s="466" t="str">
        <f t="shared" si="349"/>
        <v>--</v>
      </c>
      <c r="U465" s="467"/>
      <c r="V465" s="467"/>
      <c r="W465" s="467"/>
      <c r="X465" s="468"/>
      <c r="Y465" s="469" t="str">
        <f t="shared" si="344"/>
        <v>-</v>
      </c>
      <c r="Z465" s="467"/>
      <c r="AA465" s="467"/>
      <c r="AB465" s="467"/>
      <c r="AC465" s="470"/>
    </row>
    <row r="466" spans="1:29" ht="12.75" customHeight="1" x14ac:dyDescent="0.25">
      <c r="A466" s="458" t="s">
        <v>287</v>
      </c>
      <c r="B466" s="459"/>
      <c r="C466" s="459"/>
      <c r="D466" s="472"/>
      <c r="E466" s="462"/>
      <c r="F466" s="536"/>
      <c r="G466" s="463"/>
      <c r="H466" s="464"/>
      <c r="I466" s="464"/>
      <c r="J466" s="464"/>
      <c r="K466" s="464"/>
      <c r="L466" s="464"/>
      <c r="M466" s="464"/>
      <c r="N466" s="464"/>
      <c r="O466" s="464"/>
      <c r="P466" s="464"/>
      <c r="Q466" s="464"/>
      <c r="R466" s="473">
        <f t="shared" si="348"/>
        <v>0</v>
      </c>
      <c r="S466" s="437"/>
      <c r="T466" s="466" t="str">
        <f t="shared" si="349"/>
        <v>--</v>
      </c>
      <c r="U466" s="467"/>
      <c r="V466" s="467"/>
      <c r="W466" s="467"/>
      <c r="X466" s="468"/>
      <c r="Y466" s="469" t="str">
        <f t="shared" si="344"/>
        <v>-</v>
      </c>
      <c r="Z466" s="467"/>
      <c r="AA466" s="467"/>
      <c r="AB466" s="467"/>
      <c r="AC466" s="470"/>
    </row>
    <row r="467" spans="1:29" ht="12.75" customHeight="1" x14ac:dyDescent="0.25">
      <c r="A467" s="458" t="s">
        <v>287</v>
      </c>
      <c r="B467" s="459"/>
      <c r="C467" s="459"/>
      <c r="D467" s="472"/>
      <c r="E467" s="462"/>
      <c r="F467" s="536"/>
      <c r="G467" s="463"/>
      <c r="H467" s="464"/>
      <c r="I467" s="464"/>
      <c r="J467" s="464"/>
      <c r="K467" s="464"/>
      <c r="L467" s="464"/>
      <c r="M467" s="464"/>
      <c r="N467" s="464"/>
      <c r="O467" s="464"/>
      <c r="P467" s="464"/>
      <c r="Q467" s="464"/>
      <c r="R467" s="473">
        <f t="shared" si="348"/>
        <v>0</v>
      </c>
      <c r="S467" s="437"/>
      <c r="T467" s="466" t="str">
        <f t="shared" si="349"/>
        <v>--</v>
      </c>
      <c r="U467" s="467"/>
      <c r="V467" s="467"/>
      <c r="W467" s="467"/>
      <c r="X467" s="468"/>
      <c r="Y467" s="469" t="str">
        <f t="shared" si="344"/>
        <v>-</v>
      </c>
      <c r="Z467" s="467"/>
      <c r="AA467" s="467"/>
      <c r="AB467" s="467"/>
      <c r="AC467" s="470"/>
    </row>
    <row r="468" spans="1:29" ht="12.75" customHeight="1" x14ac:dyDescent="0.25">
      <c r="A468" s="458" t="s">
        <v>287</v>
      </c>
      <c r="B468" s="459"/>
      <c r="C468" s="459"/>
      <c r="D468" s="472"/>
      <c r="E468" s="462"/>
      <c r="F468" s="536"/>
      <c r="G468" s="463"/>
      <c r="H468" s="464"/>
      <c r="I468" s="464"/>
      <c r="J468" s="464"/>
      <c r="K468" s="464"/>
      <c r="L468" s="464"/>
      <c r="M468" s="464"/>
      <c r="N468" s="464"/>
      <c r="O468" s="464"/>
      <c r="P468" s="464"/>
      <c r="Q468" s="464"/>
      <c r="R468" s="473">
        <f t="shared" si="348"/>
        <v>0</v>
      </c>
      <c r="S468" s="437"/>
      <c r="T468" s="466" t="str">
        <f t="shared" si="349"/>
        <v>--</v>
      </c>
      <c r="U468" s="467"/>
      <c r="V468" s="467"/>
      <c r="W468" s="467"/>
      <c r="X468" s="468"/>
      <c r="Y468" s="469" t="str">
        <f t="shared" si="344"/>
        <v>-</v>
      </c>
      <c r="Z468" s="467"/>
      <c r="AA468" s="467"/>
      <c r="AB468" s="467"/>
      <c r="AC468" s="470"/>
    </row>
    <row r="469" spans="1:29" ht="12.75" customHeight="1" x14ac:dyDescent="0.25">
      <c r="A469" s="458" t="s">
        <v>287</v>
      </c>
      <c r="B469" s="459"/>
      <c r="C469" s="459"/>
      <c r="D469" s="472"/>
      <c r="E469" s="462"/>
      <c r="F469" s="536"/>
      <c r="G469" s="463"/>
      <c r="H469" s="464"/>
      <c r="I469" s="464"/>
      <c r="J469" s="464"/>
      <c r="K469" s="464"/>
      <c r="L469" s="464"/>
      <c r="M469" s="464"/>
      <c r="N469" s="464"/>
      <c r="O469" s="464"/>
      <c r="P469" s="464"/>
      <c r="Q469" s="464"/>
      <c r="R469" s="473">
        <f t="shared" si="348"/>
        <v>0</v>
      </c>
      <c r="S469" s="437"/>
      <c r="T469" s="466" t="str">
        <f t="shared" si="349"/>
        <v>--</v>
      </c>
      <c r="U469" s="467"/>
      <c r="V469" s="467"/>
      <c r="W469" s="467"/>
      <c r="X469" s="468"/>
      <c r="Y469" s="469" t="str">
        <f t="shared" si="344"/>
        <v>-</v>
      </c>
      <c r="Z469" s="467"/>
      <c r="AA469" s="467"/>
      <c r="AB469" s="467"/>
      <c r="AC469" s="470"/>
    </row>
    <row r="470" spans="1:29" ht="12.75" customHeight="1" x14ac:dyDescent="0.25">
      <c r="A470" s="458" t="s">
        <v>287</v>
      </c>
      <c r="B470" s="459"/>
      <c r="C470" s="459"/>
      <c r="D470" s="472"/>
      <c r="E470" s="462"/>
      <c r="F470" s="536"/>
      <c r="G470" s="463"/>
      <c r="H470" s="464"/>
      <c r="I470" s="464"/>
      <c r="J470" s="464"/>
      <c r="K470" s="464"/>
      <c r="L470" s="464"/>
      <c r="M470" s="464"/>
      <c r="N470" s="464"/>
      <c r="O470" s="464"/>
      <c r="P470" s="464"/>
      <c r="Q470" s="464"/>
      <c r="R470" s="473">
        <f t="shared" si="348"/>
        <v>0</v>
      </c>
      <c r="S470" s="437"/>
      <c r="T470" s="466" t="str">
        <f t="shared" si="349"/>
        <v>--</v>
      </c>
      <c r="U470" s="467"/>
      <c r="V470" s="467"/>
      <c r="W470" s="467"/>
      <c r="X470" s="468"/>
      <c r="Y470" s="469" t="str">
        <f t="shared" si="344"/>
        <v>-</v>
      </c>
      <c r="Z470" s="467"/>
      <c r="AA470" s="467"/>
      <c r="AB470" s="467"/>
      <c r="AC470" s="470"/>
    </row>
    <row r="471" spans="1:29" ht="12.75" customHeight="1" x14ac:dyDescent="0.25">
      <c r="A471" s="458" t="s">
        <v>287</v>
      </c>
      <c r="B471" s="459"/>
      <c r="C471" s="459"/>
      <c r="D471" s="472"/>
      <c r="E471" s="462"/>
      <c r="F471" s="536"/>
      <c r="G471" s="463"/>
      <c r="H471" s="464"/>
      <c r="I471" s="464"/>
      <c r="J471" s="464"/>
      <c r="K471" s="464"/>
      <c r="L471" s="464"/>
      <c r="M471" s="464"/>
      <c r="N471" s="464"/>
      <c r="O471" s="464"/>
      <c r="P471" s="464"/>
      <c r="Q471" s="464"/>
      <c r="R471" s="473">
        <f t="shared" si="348"/>
        <v>0</v>
      </c>
      <c r="S471" s="437"/>
      <c r="T471" s="466" t="str">
        <f t="shared" si="349"/>
        <v>--</v>
      </c>
      <c r="U471" s="467"/>
      <c r="V471" s="467"/>
      <c r="W471" s="467"/>
      <c r="X471" s="468"/>
      <c r="Y471" s="469" t="str">
        <f t="shared" si="344"/>
        <v>-</v>
      </c>
      <c r="Z471" s="467"/>
      <c r="AA471" s="467"/>
      <c r="AB471" s="467"/>
      <c r="AC471" s="470"/>
    </row>
    <row r="472" spans="1:29" ht="12.75" customHeight="1" x14ac:dyDescent="0.25">
      <c r="A472" s="458" t="s">
        <v>287</v>
      </c>
      <c r="B472" s="459"/>
      <c r="C472" s="459"/>
      <c r="D472" s="472"/>
      <c r="E472" s="462"/>
      <c r="F472" s="536"/>
      <c r="G472" s="463"/>
      <c r="H472" s="464"/>
      <c r="I472" s="464"/>
      <c r="J472" s="464"/>
      <c r="K472" s="464"/>
      <c r="L472" s="464"/>
      <c r="M472" s="464"/>
      <c r="N472" s="464"/>
      <c r="O472" s="464"/>
      <c r="P472" s="464"/>
      <c r="Q472" s="464"/>
      <c r="R472" s="473">
        <f t="shared" si="348"/>
        <v>0</v>
      </c>
      <c r="S472" s="437"/>
      <c r="T472" s="466" t="str">
        <f t="shared" si="349"/>
        <v>--</v>
      </c>
      <c r="U472" s="467"/>
      <c r="V472" s="467"/>
      <c r="W472" s="467"/>
      <c r="X472" s="468"/>
      <c r="Y472" s="469" t="str">
        <f t="shared" si="344"/>
        <v>-</v>
      </c>
      <c r="Z472" s="467"/>
      <c r="AA472" s="467"/>
      <c r="AB472" s="467"/>
      <c r="AC472" s="470"/>
    </row>
    <row r="473" spans="1:29" ht="12.75" customHeight="1" x14ac:dyDescent="0.25">
      <c r="A473" s="458" t="s">
        <v>287</v>
      </c>
      <c r="B473" s="459"/>
      <c r="C473" s="459"/>
      <c r="D473" s="472"/>
      <c r="E473" s="462"/>
      <c r="F473" s="536"/>
      <c r="G473" s="463"/>
      <c r="H473" s="464"/>
      <c r="I473" s="464"/>
      <c r="J473" s="464"/>
      <c r="K473" s="464"/>
      <c r="L473" s="464"/>
      <c r="M473" s="464"/>
      <c r="N473" s="464"/>
      <c r="O473" s="464"/>
      <c r="P473" s="464"/>
      <c r="Q473" s="464"/>
      <c r="R473" s="473">
        <f t="shared" si="348"/>
        <v>0</v>
      </c>
      <c r="S473" s="437"/>
      <c r="T473" s="466" t="str">
        <f t="shared" si="349"/>
        <v>--</v>
      </c>
      <c r="U473" s="467"/>
      <c r="V473" s="467"/>
      <c r="W473" s="467"/>
      <c r="X473" s="468"/>
      <c r="Y473" s="469" t="str">
        <f t="shared" si="344"/>
        <v>-</v>
      </c>
      <c r="Z473" s="467"/>
      <c r="AA473" s="467"/>
      <c r="AB473" s="467"/>
      <c r="AC473" s="470"/>
    </row>
    <row r="474" spans="1:29" ht="12.75" customHeight="1" x14ac:dyDescent="0.25">
      <c r="A474" s="458" t="s">
        <v>287</v>
      </c>
      <c r="B474" s="459"/>
      <c r="C474" s="459"/>
      <c r="D474" s="472"/>
      <c r="E474" s="462"/>
      <c r="F474" s="536"/>
      <c r="G474" s="463"/>
      <c r="H474" s="464"/>
      <c r="I474" s="464"/>
      <c r="J474" s="464"/>
      <c r="K474" s="464"/>
      <c r="L474" s="464"/>
      <c r="M474" s="464"/>
      <c r="N474" s="464"/>
      <c r="O474" s="464"/>
      <c r="P474" s="464"/>
      <c r="Q474" s="464"/>
      <c r="R474" s="473">
        <f t="shared" si="348"/>
        <v>0</v>
      </c>
      <c r="S474" s="437"/>
      <c r="T474" s="466" t="str">
        <f t="shared" si="349"/>
        <v>--</v>
      </c>
      <c r="U474" s="467"/>
      <c r="V474" s="467"/>
      <c r="W474" s="467"/>
      <c r="X474" s="468"/>
      <c r="Y474" s="469" t="str">
        <f t="shared" si="344"/>
        <v>-</v>
      </c>
      <c r="Z474" s="467"/>
      <c r="AA474" s="467"/>
      <c r="AB474" s="467"/>
      <c r="AC474" s="470"/>
    </row>
    <row r="475" spans="1:29" ht="12.75" customHeight="1" x14ac:dyDescent="0.25">
      <c r="A475" s="458" t="s">
        <v>287</v>
      </c>
      <c r="B475" s="459"/>
      <c r="C475" s="459"/>
      <c r="D475" s="472"/>
      <c r="E475" s="462"/>
      <c r="F475" s="536"/>
      <c r="G475" s="463"/>
      <c r="H475" s="464"/>
      <c r="I475" s="464"/>
      <c r="J475" s="464"/>
      <c r="K475" s="464"/>
      <c r="L475" s="464"/>
      <c r="M475" s="464"/>
      <c r="N475" s="464"/>
      <c r="O475" s="464"/>
      <c r="P475" s="464"/>
      <c r="Q475" s="464"/>
      <c r="R475" s="473">
        <f t="shared" si="348"/>
        <v>0</v>
      </c>
      <c r="S475" s="437"/>
      <c r="T475" s="466" t="str">
        <f t="shared" si="349"/>
        <v>--</v>
      </c>
      <c r="U475" s="467"/>
      <c r="V475" s="467"/>
      <c r="W475" s="467"/>
      <c r="X475" s="468"/>
      <c r="Y475" s="469" t="str">
        <f t="shared" si="344"/>
        <v>-</v>
      </c>
      <c r="Z475" s="467"/>
      <c r="AA475" s="467"/>
      <c r="AB475" s="467"/>
      <c r="AC475" s="470"/>
    </row>
    <row r="476" spans="1:29" ht="12.75" customHeight="1" x14ac:dyDescent="0.25">
      <c r="A476" s="458" t="s">
        <v>287</v>
      </c>
      <c r="B476" s="459"/>
      <c r="C476" s="459"/>
      <c r="D476" s="472"/>
      <c r="E476" s="462"/>
      <c r="F476" s="536"/>
      <c r="G476" s="463"/>
      <c r="H476" s="464"/>
      <c r="I476" s="464"/>
      <c r="J476" s="464"/>
      <c r="K476" s="464"/>
      <c r="L476" s="464"/>
      <c r="M476" s="464"/>
      <c r="N476" s="464"/>
      <c r="O476" s="464"/>
      <c r="P476" s="464"/>
      <c r="Q476" s="464"/>
      <c r="R476" s="473">
        <f t="shared" si="348"/>
        <v>0</v>
      </c>
      <c r="S476" s="437"/>
      <c r="T476" s="466" t="str">
        <f t="shared" si="349"/>
        <v>--</v>
      </c>
      <c r="U476" s="467"/>
      <c r="V476" s="467"/>
      <c r="W476" s="467"/>
      <c r="X476" s="468"/>
      <c r="Y476" s="469" t="str">
        <f t="shared" si="344"/>
        <v>-</v>
      </c>
      <c r="Z476" s="467"/>
      <c r="AA476" s="467"/>
      <c r="AB476" s="467"/>
      <c r="AC476" s="470"/>
    </row>
    <row r="477" spans="1:29" ht="12.75" customHeight="1" x14ac:dyDescent="0.25">
      <c r="A477" s="458" t="s">
        <v>287</v>
      </c>
      <c r="B477" s="459"/>
      <c r="C477" s="459"/>
      <c r="D477" s="472"/>
      <c r="E477" s="462"/>
      <c r="F477" s="536"/>
      <c r="G477" s="463"/>
      <c r="H477" s="464"/>
      <c r="I477" s="464"/>
      <c r="J477" s="464"/>
      <c r="K477" s="464"/>
      <c r="L477" s="464"/>
      <c r="M477" s="464"/>
      <c r="N477" s="464"/>
      <c r="O477" s="464"/>
      <c r="P477" s="464"/>
      <c r="Q477" s="464"/>
      <c r="R477" s="473">
        <f t="shared" si="348"/>
        <v>0</v>
      </c>
      <c r="S477" s="437"/>
      <c r="T477" s="466" t="str">
        <f t="shared" si="349"/>
        <v>--</v>
      </c>
      <c r="U477" s="467"/>
      <c r="V477" s="467"/>
      <c r="W477" s="467"/>
      <c r="X477" s="468"/>
      <c r="Y477" s="469" t="str">
        <f t="shared" si="344"/>
        <v>-</v>
      </c>
      <c r="Z477" s="467"/>
      <c r="AA477" s="467"/>
      <c r="AB477" s="467"/>
      <c r="AC477" s="470"/>
    </row>
    <row r="478" spans="1:29" ht="12.75" customHeight="1" x14ac:dyDescent="0.25">
      <c r="A478" s="458" t="s">
        <v>287</v>
      </c>
      <c r="B478" s="459"/>
      <c r="C478" s="459"/>
      <c r="D478" s="472"/>
      <c r="E478" s="462"/>
      <c r="F478" s="536"/>
      <c r="G478" s="463"/>
      <c r="H478" s="464"/>
      <c r="I478" s="464"/>
      <c r="J478" s="464"/>
      <c r="K478" s="464"/>
      <c r="L478" s="464"/>
      <c r="M478" s="464"/>
      <c r="N478" s="464"/>
      <c r="O478" s="464"/>
      <c r="P478" s="464"/>
      <c r="Q478" s="464"/>
      <c r="R478" s="473">
        <f t="shared" si="348"/>
        <v>0</v>
      </c>
      <c r="S478" s="437"/>
      <c r="T478" s="466" t="str">
        <f t="shared" si="349"/>
        <v>--</v>
      </c>
      <c r="U478" s="467"/>
      <c r="V478" s="467"/>
      <c r="W478" s="467"/>
      <c r="X478" s="468"/>
      <c r="Y478" s="469" t="str">
        <f t="shared" si="344"/>
        <v>-</v>
      </c>
      <c r="Z478" s="467"/>
      <c r="AA478" s="467"/>
      <c r="AB478" s="467"/>
      <c r="AC478" s="470"/>
    </row>
    <row r="479" spans="1:29" ht="12.75" customHeight="1" x14ac:dyDescent="0.25">
      <c r="A479" s="458" t="s">
        <v>287</v>
      </c>
      <c r="B479" s="459"/>
      <c r="C479" s="459"/>
      <c r="D479" s="472"/>
      <c r="E479" s="462"/>
      <c r="F479" s="536"/>
      <c r="G479" s="463"/>
      <c r="H479" s="464"/>
      <c r="I479" s="464"/>
      <c r="J479" s="464"/>
      <c r="K479" s="464"/>
      <c r="L479" s="464"/>
      <c r="M479" s="464"/>
      <c r="N479" s="464"/>
      <c r="O479" s="464"/>
      <c r="P479" s="464"/>
      <c r="Q479" s="464"/>
      <c r="R479" s="473">
        <f t="shared" si="348"/>
        <v>0</v>
      </c>
      <c r="S479" s="437"/>
      <c r="T479" s="466" t="str">
        <f t="shared" si="349"/>
        <v>--</v>
      </c>
      <c r="U479" s="467"/>
      <c r="V479" s="467"/>
      <c r="W479" s="467"/>
      <c r="X479" s="468"/>
      <c r="Y479" s="469" t="str">
        <f t="shared" si="344"/>
        <v>-</v>
      </c>
      <c r="Z479" s="467"/>
      <c r="AA479" s="467"/>
      <c r="AB479" s="467"/>
      <c r="AC479" s="470"/>
    </row>
    <row r="480" spans="1:29" ht="12.75" customHeight="1" x14ac:dyDescent="0.25">
      <c r="A480" s="458" t="s">
        <v>287</v>
      </c>
      <c r="B480" s="459"/>
      <c r="C480" s="459"/>
      <c r="D480" s="472"/>
      <c r="E480" s="462"/>
      <c r="F480" s="536"/>
      <c r="G480" s="463"/>
      <c r="H480" s="464"/>
      <c r="I480" s="464"/>
      <c r="J480" s="464"/>
      <c r="K480" s="464"/>
      <c r="L480" s="464"/>
      <c r="M480" s="464"/>
      <c r="N480" s="464"/>
      <c r="O480" s="464"/>
      <c r="P480" s="464"/>
      <c r="Q480" s="464"/>
      <c r="R480" s="473">
        <f t="shared" si="348"/>
        <v>0</v>
      </c>
      <c r="S480" s="437"/>
      <c r="T480" s="466" t="str">
        <f t="shared" si="349"/>
        <v>--</v>
      </c>
      <c r="U480" s="467"/>
      <c r="V480" s="467"/>
      <c r="W480" s="467"/>
      <c r="X480" s="468"/>
      <c r="Y480" s="469" t="str">
        <f t="shared" si="344"/>
        <v>-</v>
      </c>
      <c r="Z480" s="467"/>
      <c r="AA480" s="467"/>
      <c r="AB480" s="467"/>
      <c r="AC480" s="470"/>
    </row>
    <row r="481" spans="1:29" ht="12.75" customHeight="1" x14ac:dyDescent="0.25">
      <c r="A481" s="458" t="s">
        <v>287</v>
      </c>
      <c r="B481" s="459"/>
      <c r="C481" s="459"/>
      <c r="D481" s="472"/>
      <c r="E481" s="462"/>
      <c r="F481" s="536"/>
      <c r="G481" s="463"/>
      <c r="H481" s="464"/>
      <c r="I481" s="464"/>
      <c r="J481" s="464"/>
      <c r="K481" s="464"/>
      <c r="L481" s="464"/>
      <c r="M481" s="464"/>
      <c r="N481" s="464"/>
      <c r="O481" s="464"/>
      <c r="P481" s="464"/>
      <c r="Q481" s="464"/>
      <c r="R481" s="473">
        <f t="shared" si="348"/>
        <v>0</v>
      </c>
      <c r="S481" s="437"/>
      <c r="T481" s="466" t="str">
        <f t="shared" si="349"/>
        <v>--</v>
      </c>
      <c r="U481" s="467"/>
      <c r="V481" s="467"/>
      <c r="W481" s="467"/>
      <c r="X481" s="468"/>
      <c r="Y481" s="469" t="str">
        <f t="shared" si="344"/>
        <v>-</v>
      </c>
      <c r="Z481" s="467"/>
      <c r="AA481" s="467"/>
      <c r="AB481" s="467"/>
      <c r="AC481" s="470"/>
    </row>
    <row r="482" spans="1:29" ht="12.75" customHeight="1" x14ac:dyDescent="0.25">
      <c r="A482" s="458" t="s">
        <v>287</v>
      </c>
      <c r="B482" s="459"/>
      <c r="C482" s="459"/>
      <c r="D482" s="472"/>
      <c r="E482" s="462"/>
      <c r="F482" s="536"/>
      <c r="G482" s="463"/>
      <c r="H482" s="464"/>
      <c r="I482" s="464"/>
      <c r="J482" s="464"/>
      <c r="K482" s="464"/>
      <c r="L482" s="464"/>
      <c r="M482" s="464"/>
      <c r="N482" s="464"/>
      <c r="O482" s="464"/>
      <c r="P482" s="464"/>
      <c r="Q482" s="464"/>
      <c r="R482" s="473">
        <f t="shared" si="348"/>
        <v>0</v>
      </c>
      <c r="S482" s="437"/>
      <c r="T482" s="466" t="str">
        <f t="shared" si="349"/>
        <v>--</v>
      </c>
      <c r="U482" s="467"/>
      <c r="V482" s="467"/>
      <c r="W482" s="467"/>
      <c r="X482" s="468"/>
      <c r="Y482" s="469" t="str">
        <f t="shared" si="344"/>
        <v>-</v>
      </c>
      <c r="Z482" s="467"/>
      <c r="AA482" s="467"/>
      <c r="AB482" s="467"/>
      <c r="AC482" s="470"/>
    </row>
    <row r="483" spans="1:29" ht="12.75" customHeight="1" x14ac:dyDescent="0.25">
      <c r="A483" s="458" t="s">
        <v>287</v>
      </c>
      <c r="B483" s="459"/>
      <c r="C483" s="459"/>
      <c r="D483" s="472"/>
      <c r="E483" s="462"/>
      <c r="F483" s="536"/>
      <c r="G483" s="463"/>
      <c r="H483" s="464"/>
      <c r="I483" s="464"/>
      <c r="J483" s="464"/>
      <c r="K483" s="464"/>
      <c r="L483" s="464"/>
      <c r="M483" s="464"/>
      <c r="N483" s="464"/>
      <c r="O483" s="464"/>
      <c r="P483" s="464"/>
      <c r="Q483" s="464"/>
      <c r="R483" s="473">
        <f t="shared" si="348"/>
        <v>0</v>
      </c>
      <c r="S483" s="437"/>
      <c r="T483" s="466" t="str">
        <f t="shared" si="349"/>
        <v>--</v>
      </c>
      <c r="U483" s="467"/>
      <c r="V483" s="467"/>
      <c r="W483" s="467"/>
      <c r="X483" s="468"/>
      <c r="Y483" s="469" t="str">
        <f t="shared" si="344"/>
        <v>-</v>
      </c>
      <c r="Z483" s="467"/>
      <c r="AA483" s="467"/>
      <c r="AB483" s="467"/>
      <c r="AC483" s="470"/>
    </row>
    <row r="484" spans="1:29" ht="12.75" customHeight="1" x14ac:dyDescent="0.25">
      <c r="A484" s="458" t="s">
        <v>287</v>
      </c>
      <c r="B484" s="459"/>
      <c r="C484" s="459"/>
      <c r="D484" s="472"/>
      <c r="E484" s="462"/>
      <c r="F484" s="536"/>
      <c r="G484" s="463"/>
      <c r="H484" s="464"/>
      <c r="I484" s="464"/>
      <c r="J484" s="464"/>
      <c r="K484" s="464"/>
      <c r="L484" s="464"/>
      <c r="M484" s="464"/>
      <c r="N484" s="464"/>
      <c r="O484" s="464"/>
      <c r="P484" s="464"/>
      <c r="Q484" s="464"/>
      <c r="R484" s="473">
        <f t="shared" si="348"/>
        <v>0</v>
      </c>
      <c r="S484" s="437"/>
      <c r="T484" s="466" t="str">
        <f t="shared" si="349"/>
        <v>--</v>
      </c>
      <c r="U484" s="467"/>
      <c r="V484" s="467"/>
      <c r="W484" s="467"/>
      <c r="X484" s="468"/>
      <c r="Y484" s="469" t="str">
        <f t="shared" si="344"/>
        <v>-</v>
      </c>
      <c r="Z484" s="467"/>
      <c r="AA484" s="467"/>
      <c r="AB484" s="467"/>
      <c r="AC484" s="470"/>
    </row>
    <row r="485" spans="1:29" ht="12.75" customHeight="1" x14ac:dyDescent="0.25">
      <c r="A485" s="458" t="s">
        <v>287</v>
      </c>
      <c r="B485" s="459"/>
      <c r="C485" s="459"/>
      <c r="D485" s="472"/>
      <c r="E485" s="462"/>
      <c r="F485" s="536"/>
      <c r="G485" s="463"/>
      <c r="H485" s="464"/>
      <c r="I485" s="464"/>
      <c r="J485" s="464"/>
      <c r="K485" s="464"/>
      <c r="L485" s="464"/>
      <c r="M485" s="464"/>
      <c r="N485" s="464"/>
      <c r="O485" s="464"/>
      <c r="P485" s="464"/>
      <c r="Q485" s="464"/>
      <c r="R485" s="473">
        <f t="shared" si="348"/>
        <v>0</v>
      </c>
      <c r="S485" s="437"/>
      <c r="T485" s="466" t="str">
        <f t="shared" si="349"/>
        <v>--</v>
      </c>
      <c r="U485" s="467"/>
      <c r="V485" s="467"/>
      <c r="W485" s="467"/>
      <c r="X485" s="468"/>
      <c r="Y485" s="469" t="str">
        <f t="shared" si="344"/>
        <v>-</v>
      </c>
      <c r="Z485" s="467"/>
      <c r="AA485" s="467"/>
      <c r="AB485" s="467"/>
      <c r="AC485" s="470"/>
    </row>
    <row r="486" spans="1:29" ht="12.75" customHeight="1" x14ac:dyDescent="0.25">
      <c r="A486" s="458" t="s">
        <v>287</v>
      </c>
      <c r="B486" s="459"/>
      <c r="C486" s="459"/>
      <c r="D486" s="472"/>
      <c r="E486" s="462"/>
      <c r="F486" s="536"/>
      <c r="G486" s="463"/>
      <c r="H486" s="464"/>
      <c r="I486" s="464"/>
      <c r="J486" s="464"/>
      <c r="K486" s="464"/>
      <c r="L486" s="464"/>
      <c r="M486" s="464"/>
      <c r="N486" s="464"/>
      <c r="O486" s="464"/>
      <c r="P486" s="464"/>
      <c r="Q486" s="464"/>
      <c r="R486" s="473">
        <f t="shared" si="348"/>
        <v>0</v>
      </c>
      <c r="S486" s="437"/>
      <c r="T486" s="466" t="str">
        <f t="shared" si="349"/>
        <v>--</v>
      </c>
      <c r="U486" s="467"/>
      <c r="V486" s="467"/>
      <c r="W486" s="467"/>
      <c r="X486" s="468"/>
      <c r="Y486" s="469" t="str">
        <f t="shared" si="344"/>
        <v>-</v>
      </c>
      <c r="Z486" s="467"/>
      <c r="AA486" s="467"/>
      <c r="AB486" s="467"/>
      <c r="AC486" s="470"/>
    </row>
    <row r="487" spans="1:29" ht="12.75" customHeight="1" x14ac:dyDescent="0.25">
      <c r="A487" s="458" t="s">
        <v>287</v>
      </c>
      <c r="B487" s="459"/>
      <c r="C487" s="459"/>
      <c r="D487" s="472"/>
      <c r="E487" s="462"/>
      <c r="F487" s="536"/>
      <c r="G487" s="463"/>
      <c r="H487" s="464"/>
      <c r="I487" s="464"/>
      <c r="J487" s="464"/>
      <c r="K487" s="464"/>
      <c r="L487" s="464"/>
      <c r="M487" s="464"/>
      <c r="N487" s="464"/>
      <c r="O487" s="464"/>
      <c r="P487" s="464"/>
      <c r="Q487" s="464"/>
      <c r="R487" s="473">
        <f t="shared" si="348"/>
        <v>0</v>
      </c>
      <c r="S487" s="437"/>
      <c r="T487" s="466" t="str">
        <f t="shared" si="349"/>
        <v>--</v>
      </c>
      <c r="U487" s="467"/>
      <c r="V487" s="467"/>
      <c r="W487" s="467"/>
      <c r="X487" s="468"/>
      <c r="Y487" s="469" t="str">
        <f t="shared" si="344"/>
        <v>-</v>
      </c>
      <c r="Z487" s="467"/>
      <c r="AA487" s="467"/>
      <c r="AB487" s="467"/>
      <c r="AC487" s="470"/>
    </row>
    <row r="488" spans="1:29" ht="12.75" customHeight="1" x14ac:dyDescent="0.25">
      <c r="A488" s="458" t="s">
        <v>287</v>
      </c>
      <c r="B488" s="459"/>
      <c r="C488" s="459"/>
      <c r="D488" s="472"/>
      <c r="E488" s="462"/>
      <c r="F488" s="536"/>
      <c r="G488" s="463"/>
      <c r="H488" s="464"/>
      <c r="I488" s="464"/>
      <c r="J488" s="464"/>
      <c r="K488" s="464"/>
      <c r="L488" s="464"/>
      <c r="M488" s="464"/>
      <c r="N488" s="464"/>
      <c r="O488" s="464"/>
      <c r="P488" s="464"/>
      <c r="Q488" s="464"/>
      <c r="R488" s="473">
        <f t="shared" si="348"/>
        <v>0</v>
      </c>
      <c r="S488" s="437"/>
      <c r="T488" s="466" t="str">
        <f t="shared" si="349"/>
        <v>--</v>
      </c>
      <c r="U488" s="467"/>
      <c r="V488" s="467"/>
      <c r="W488" s="467"/>
      <c r="X488" s="468"/>
      <c r="Y488" s="469" t="str">
        <f t="shared" si="344"/>
        <v>-</v>
      </c>
      <c r="Z488" s="467"/>
      <c r="AA488" s="467"/>
      <c r="AB488" s="467"/>
      <c r="AC488" s="470"/>
    </row>
    <row r="489" spans="1:29" ht="12.75" customHeight="1" x14ac:dyDescent="0.25">
      <c r="A489" s="458" t="s">
        <v>287</v>
      </c>
      <c r="B489" s="459"/>
      <c r="C489" s="459"/>
      <c r="D489" s="472"/>
      <c r="E489" s="462"/>
      <c r="F489" s="536"/>
      <c r="G489" s="463"/>
      <c r="H489" s="464"/>
      <c r="I489" s="464"/>
      <c r="J489" s="464"/>
      <c r="K489" s="464"/>
      <c r="L489" s="464"/>
      <c r="M489" s="464"/>
      <c r="N489" s="464"/>
      <c r="O489" s="464"/>
      <c r="P489" s="464"/>
      <c r="Q489" s="464"/>
      <c r="R489" s="473">
        <f t="shared" si="348"/>
        <v>0</v>
      </c>
      <c r="S489" s="437"/>
      <c r="T489" s="466" t="str">
        <f t="shared" si="349"/>
        <v>--</v>
      </c>
      <c r="U489" s="467"/>
      <c r="V489" s="467"/>
      <c r="W489" s="467"/>
      <c r="X489" s="468"/>
      <c r="Y489" s="469" t="str">
        <f t="shared" si="344"/>
        <v>-</v>
      </c>
      <c r="Z489" s="467"/>
      <c r="AA489" s="467"/>
      <c r="AB489" s="467"/>
      <c r="AC489" s="470"/>
    </row>
    <row r="490" spans="1:29" ht="12.75" customHeight="1" x14ac:dyDescent="0.25">
      <c r="A490" s="458" t="s">
        <v>287</v>
      </c>
      <c r="B490" s="459"/>
      <c r="C490" s="459"/>
      <c r="D490" s="472"/>
      <c r="E490" s="462"/>
      <c r="F490" s="536"/>
      <c r="G490" s="463"/>
      <c r="H490" s="464"/>
      <c r="I490" s="464"/>
      <c r="J490" s="464"/>
      <c r="K490" s="464"/>
      <c r="L490" s="464"/>
      <c r="M490" s="464"/>
      <c r="N490" s="464"/>
      <c r="O490" s="464"/>
      <c r="P490" s="464"/>
      <c r="Q490" s="464"/>
      <c r="R490" s="473">
        <f t="shared" si="348"/>
        <v>0</v>
      </c>
      <c r="S490" s="437"/>
      <c r="T490" s="466" t="str">
        <f t="shared" si="349"/>
        <v>--</v>
      </c>
      <c r="U490" s="467"/>
      <c r="V490" s="467"/>
      <c r="W490" s="467"/>
      <c r="X490" s="468"/>
      <c r="Y490" s="469" t="str">
        <f t="shared" si="344"/>
        <v>-</v>
      </c>
      <c r="Z490" s="467"/>
      <c r="AA490" s="467"/>
      <c r="AB490" s="467"/>
      <c r="AC490" s="470"/>
    </row>
    <row r="491" spans="1:29" ht="12.75" customHeight="1" x14ac:dyDescent="0.25">
      <c r="A491" s="458" t="s">
        <v>287</v>
      </c>
      <c r="B491" s="459"/>
      <c r="C491" s="459"/>
      <c r="D491" s="472"/>
      <c r="E491" s="462"/>
      <c r="F491" s="536"/>
      <c r="G491" s="463"/>
      <c r="H491" s="464"/>
      <c r="I491" s="464"/>
      <c r="J491" s="464"/>
      <c r="K491" s="464"/>
      <c r="L491" s="464"/>
      <c r="M491" s="464"/>
      <c r="N491" s="464"/>
      <c r="O491" s="464"/>
      <c r="P491" s="464"/>
      <c r="Q491" s="464"/>
      <c r="R491" s="473">
        <f t="shared" si="348"/>
        <v>0</v>
      </c>
      <c r="S491" s="437"/>
      <c r="T491" s="466" t="str">
        <f t="shared" si="349"/>
        <v>--</v>
      </c>
      <c r="U491" s="467"/>
      <c r="V491" s="467"/>
      <c r="W491" s="467"/>
      <c r="X491" s="468"/>
      <c r="Y491" s="469" t="str">
        <f t="shared" si="344"/>
        <v>-</v>
      </c>
      <c r="Z491" s="467"/>
      <c r="AA491" s="467"/>
      <c r="AB491" s="467"/>
      <c r="AC491" s="470"/>
    </row>
    <row r="492" spans="1:29" ht="12.75" customHeight="1" x14ac:dyDescent="0.25">
      <c r="A492" s="458" t="s">
        <v>287</v>
      </c>
      <c r="B492" s="459"/>
      <c r="C492" s="459"/>
      <c r="D492" s="472"/>
      <c r="E492" s="462"/>
      <c r="F492" s="536"/>
      <c r="G492" s="463"/>
      <c r="H492" s="464"/>
      <c r="I492" s="464"/>
      <c r="J492" s="464"/>
      <c r="K492" s="464"/>
      <c r="L492" s="464"/>
      <c r="M492" s="464"/>
      <c r="N492" s="464"/>
      <c r="O492" s="464"/>
      <c r="P492" s="464"/>
      <c r="Q492" s="464"/>
      <c r="R492" s="473">
        <f t="shared" si="348"/>
        <v>0</v>
      </c>
      <c r="S492" s="437"/>
      <c r="T492" s="466" t="str">
        <f t="shared" si="349"/>
        <v>--</v>
      </c>
      <c r="U492" s="467"/>
      <c r="V492" s="467"/>
      <c r="W492" s="467"/>
      <c r="X492" s="468"/>
      <c r="Y492" s="469" t="str">
        <f t="shared" si="344"/>
        <v>-</v>
      </c>
      <c r="Z492" s="467"/>
      <c r="AA492" s="467"/>
      <c r="AB492" s="467"/>
      <c r="AC492" s="470"/>
    </row>
    <row r="493" spans="1:29" ht="12.75" customHeight="1" x14ac:dyDescent="0.25">
      <c r="A493" s="458" t="s">
        <v>287</v>
      </c>
      <c r="B493" s="459"/>
      <c r="C493" s="459"/>
      <c r="D493" s="472"/>
      <c r="E493" s="462"/>
      <c r="F493" s="536"/>
      <c r="G493" s="463"/>
      <c r="H493" s="464"/>
      <c r="I493" s="464"/>
      <c r="J493" s="464"/>
      <c r="K493" s="464"/>
      <c r="L493" s="464"/>
      <c r="M493" s="464"/>
      <c r="N493" s="464"/>
      <c r="O493" s="464"/>
      <c r="P493" s="464"/>
      <c r="Q493" s="464"/>
      <c r="R493" s="473">
        <f t="shared" si="348"/>
        <v>0</v>
      </c>
      <c r="S493" s="437"/>
      <c r="T493" s="466" t="str">
        <f t="shared" si="349"/>
        <v>--</v>
      </c>
      <c r="U493" s="467"/>
      <c r="V493" s="467"/>
      <c r="W493" s="467"/>
      <c r="X493" s="468"/>
      <c r="Y493" s="469" t="str">
        <f t="shared" si="344"/>
        <v>-</v>
      </c>
      <c r="Z493" s="467"/>
      <c r="AA493" s="467"/>
      <c r="AB493" s="467"/>
      <c r="AC493" s="470"/>
    </row>
    <row r="494" spans="1:29" ht="12.75" customHeight="1" x14ac:dyDescent="0.25">
      <c r="A494" s="458" t="s">
        <v>287</v>
      </c>
      <c r="B494" s="459"/>
      <c r="C494" s="459"/>
      <c r="D494" s="472"/>
      <c r="E494" s="462"/>
      <c r="F494" s="536"/>
      <c r="G494" s="463"/>
      <c r="H494" s="464"/>
      <c r="I494" s="464"/>
      <c r="J494" s="464"/>
      <c r="K494" s="464"/>
      <c r="L494" s="464"/>
      <c r="M494" s="464"/>
      <c r="N494" s="464"/>
      <c r="O494" s="464"/>
      <c r="P494" s="464"/>
      <c r="Q494" s="464"/>
      <c r="R494" s="473">
        <f t="shared" ref="R494:R525" si="350">SUM(H494:Q494)</f>
        <v>0</v>
      </c>
      <c r="S494" s="437"/>
      <c r="T494" s="466" t="str">
        <f t="shared" ref="T494:T525" si="351">F494&amp;"-"&amp;G494&amp;"-"&amp;E494</f>
        <v>--</v>
      </c>
      <c r="U494" s="467"/>
      <c r="V494" s="467"/>
      <c r="W494" s="467"/>
      <c r="X494" s="468"/>
      <c r="Y494" s="469" t="str">
        <f t="shared" si="344"/>
        <v>-</v>
      </c>
      <c r="Z494" s="467"/>
      <c r="AA494" s="467"/>
      <c r="AB494" s="467"/>
      <c r="AC494" s="470"/>
    </row>
    <row r="495" spans="1:29" ht="12.75" customHeight="1" x14ac:dyDescent="0.25">
      <c r="A495" s="458" t="s">
        <v>287</v>
      </c>
      <c r="B495" s="459"/>
      <c r="C495" s="459"/>
      <c r="D495" s="472"/>
      <c r="E495" s="462"/>
      <c r="F495" s="536"/>
      <c r="G495" s="463"/>
      <c r="H495" s="464"/>
      <c r="I495" s="464"/>
      <c r="J495" s="464"/>
      <c r="K495" s="464"/>
      <c r="L495" s="464"/>
      <c r="M495" s="464"/>
      <c r="N495" s="464"/>
      <c r="O495" s="464"/>
      <c r="P495" s="464"/>
      <c r="Q495" s="464"/>
      <c r="R495" s="473">
        <f t="shared" si="350"/>
        <v>0</v>
      </c>
      <c r="S495" s="437"/>
      <c r="T495" s="466" t="str">
        <f t="shared" si="351"/>
        <v>--</v>
      </c>
      <c r="U495" s="467"/>
      <c r="V495" s="467"/>
      <c r="W495" s="467"/>
      <c r="X495" s="468"/>
      <c r="Y495" s="469" t="str">
        <f t="shared" si="344"/>
        <v>-</v>
      </c>
      <c r="Z495" s="467"/>
      <c r="AA495" s="467"/>
      <c r="AB495" s="467"/>
      <c r="AC495" s="470"/>
    </row>
    <row r="496" spans="1:29" ht="12.75" customHeight="1" x14ac:dyDescent="0.25">
      <c r="A496" s="458" t="s">
        <v>287</v>
      </c>
      <c r="B496" s="459"/>
      <c r="C496" s="459"/>
      <c r="D496" s="472"/>
      <c r="E496" s="462"/>
      <c r="F496" s="536"/>
      <c r="G496" s="463"/>
      <c r="H496" s="464"/>
      <c r="I496" s="464"/>
      <c r="J496" s="464"/>
      <c r="K496" s="464"/>
      <c r="L496" s="464"/>
      <c r="M496" s="464"/>
      <c r="N496" s="464"/>
      <c r="O496" s="464"/>
      <c r="P496" s="464"/>
      <c r="Q496" s="464"/>
      <c r="R496" s="473">
        <f t="shared" si="350"/>
        <v>0</v>
      </c>
      <c r="S496" s="437"/>
      <c r="T496" s="466" t="str">
        <f t="shared" si="351"/>
        <v>--</v>
      </c>
      <c r="U496" s="467"/>
      <c r="V496" s="467"/>
      <c r="W496" s="467"/>
      <c r="X496" s="468"/>
      <c r="Y496" s="469" t="str">
        <f t="shared" si="344"/>
        <v>-</v>
      </c>
      <c r="Z496" s="467"/>
      <c r="AA496" s="467"/>
      <c r="AB496" s="467"/>
      <c r="AC496" s="470"/>
    </row>
    <row r="497" spans="1:29" ht="12.75" customHeight="1" x14ac:dyDescent="0.25">
      <c r="A497" s="458" t="s">
        <v>287</v>
      </c>
      <c r="B497" s="459"/>
      <c r="C497" s="459"/>
      <c r="D497" s="472"/>
      <c r="E497" s="462"/>
      <c r="F497" s="536"/>
      <c r="G497" s="463"/>
      <c r="H497" s="464"/>
      <c r="I497" s="464"/>
      <c r="J497" s="464"/>
      <c r="K497" s="464"/>
      <c r="L497" s="464"/>
      <c r="M497" s="464"/>
      <c r="N497" s="464"/>
      <c r="O497" s="464"/>
      <c r="P497" s="464"/>
      <c r="Q497" s="464"/>
      <c r="R497" s="473">
        <f t="shared" si="350"/>
        <v>0</v>
      </c>
      <c r="S497" s="437"/>
      <c r="T497" s="466" t="str">
        <f t="shared" si="351"/>
        <v>--</v>
      </c>
      <c r="U497" s="467"/>
      <c r="V497" s="467"/>
      <c r="W497" s="467"/>
      <c r="X497" s="468"/>
      <c r="Y497" s="469" t="str">
        <f t="shared" si="344"/>
        <v>-</v>
      </c>
      <c r="Z497" s="467"/>
      <c r="AA497" s="467"/>
      <c r="AB497" s="467"/>
      <c r="AC497" s="470"/>
    </row>
    <row r="498" spans="1:29" ht="12.75" customHeight="1" x14ac:dyDescent="0.25">
      <c r="A498" s="458" t="s">
        <v>287</v>
      </c>
      <c r="B498" s="459"/>
      <c r="C498" s="459"/>
      <c r="D498" s="472"/>
      <c r="E498" s="462"/>
      <c r="F498" s="536"/>
      <c r="G498" s="463"/>
      <c r="H498" s="464"/>
      <c r="I498" s="464"/>
      <c r="J498" s="464"/>
      <c r="K498" s="464"/>
      <c r="L498" s="464"/>
      <c r="M498" s="464"/>
      <c r="N498" s="464"/>
      <c r="O498" s="464"/>
      <c r="P498" s="464"/>
      <c r="Q498" s="464"/>
      <c r="R498" s="473">
        <f t="shared" si="350"/>
        <v>0</v>
      </c>
      <c r="S498" s="437"/>
      <c r="T498" s="466" t="str">
        <f t="shared" si="351"/>
        <v>--</v>
      </c>
      <c r="U498" s="467"/>
      <c r="V498" s="467"/>
      <c r="W498" s="467"/>
      <c r="X498" s="468"/>
      <c r="Y498" s="469" t="str">
        <f t="shared" si="344"/>
        <v>-</v>
      </c>
      <c r="Z498" s="467"/>
      <c r="AA498" s="467"/>
      <c r="AB498" s="467"/>
      <c r="AC498" s="470"/>
    </row>
    <row r="499" spans="1:29" ht="12.75" customHeight="1" x14ac:dyDescent="0.25">
      <c r="A499" s="458" t="s">
        <v>287</v>
      </c>
      <c r="B499" s="459"/>
      <c r="C499" s="459"/>
      <c r="D499" s="472"/>
      <c r="E499" s="462"/>
      <c r="F499" s="536"/>
      <c r="G499" s="463"/>
      <c r="H499" s="464"/>
      <c r="I499" s="464"/>
      <c r="J499" s="464"/>
      <c r="K499" s="464"/>
      <c r="L499" s="464"/>
      <c r="M499" s="464"/>
      <c r="N499" s="464"/>
      <c r="O499" s="464"/>
      <c r="P499" s="464"/>
      <c r="Q499" s="464"/>
      <c r="R499" s="473">
        <f t="shared" si="350"/>
        <v>0</v>
      </c>
      <c r="S499" s="437"/>
      <c r="T499" s="466" t="str">
        <f t="shared" si="351"/>
        <v>--</v>
      </c>
      <c r="U499" s="467"/>
      <c r="V499" s="467"/>
      <c r="W499" s="467"/>
      <c r="X499" s="468"/>
      <c r="Y499" s="469" t="str">
        <f t="shared" si="344"/>
        <v>-</v>
      </c>
      <c r="Z499" s="467"/>
      <c r="AA499" s="467"/>
      <c r="AB499" s="467"/>
      <c r="AC499" s="470"/>
    </row>
    <row r="500" spans="1:29" ht="12.75" customHeight="1" x14ac:dyDescent="0.25">
      <c r="A500" s="458" t="s">
        <v>287</v>
      </c>
      <c r="B500" s="459"/>
      <c r="C500" s="459"/>
      <c r="D500" s="472"/>
      <c r="E500" s="462"/>
      <c r="F500" s="463"/>
      <c r="G500" s="463"/>
      <c r="H500" s="464"/>
      <c r="I500" s="464"/>
      <c r="J500" s="464"/>
      <c r="K500" s="464"/>
      <c r="L500" s="464"/>
      <c r="M500" s="464"/>
      <c r="N500" s="464"/>
      <c r="O500" s="464"/>
      <c r="P500" s="464"/>
      <c r="Q500" s="464"/>
      <c r="R500" s="473">
        <f t="shared" si="350"/>
        <v>0</v>
      </c>
      <c r="S500" s="437"/>
      <c r="T500" s="466" t="str">
        <f t="shared" si="351"/>
        <v>--</v>
      </c>
      <c r="U500" s="467"/>
      <c r="V500" s="467"/>
      <c r="W500" s="467"/>
      <c r="X500" s="468"/>
      <c r="Y500" s="469" t="str">
        <f t="shared" si="344"/>
        <v>-</v>
      </c>
      <c r="Z500" s="467"/>
      <c r="AA500" s="467"/>
      <c r="AB500" s="467"/>
      <c r="AC500" s="470"/>
    </row>
    <row r="501" spans="1:29" ht="12.75" customHeight="1" x14ac:dyDescent="0.25">
      <c r="A501" s="458" t="s">
        <v>287</v>
      </c>
      <c r="B501" s="459"/>
      <c r="C501" s="459"/>
      <c r="D501" s="472"/>
      <c r="E501" s="462"/>
      <c r="F501" s="463"/>
      <c r="G501" s="463"/>
      <c r="H501" s="464"/>
      <c r="I501" s="464"/>
      <c r="J501" s="464"/>
      <c r="K501" s="464"/>
      <c r="L501" s="464"/>
      <c r="M501" s="464"/>
      <c r="N501" s="464"/>
      <c r="O501" s="464"/>
      <c r="P501" s="464"/>
      <c r="Q501" s="464"/>
      <c r="R501" s="473">
        <f t="shared" si="350"/>
        <v>0</v>
      </c>
      <c r="S501" s="437"/>
      <c r="T501" s="466" t="str">
        <f t="shared" si="351"/>
        <v>--</v>
      </c>
      <c r="U501" s="467"/>
      <c r="V501" s="467"/>
      <c r="W501" s="467"/>
      <c r="X501" s="468"/>
      <c r="Y501" s="469" t="str">
        <f t="shared" si="344"/>
        <v>-</v>
      </c>
      <c r="Z501" s="467"/>
      <c r="AA501" s="467"/>
      <c r="AB501" s="467"/>
      <c r="AC501" s="470"/>
    </row>
    <row r="502" spans="1:29" ht="12.75" customHeight="1" x14ac:dyDescent="0.25">
      <c r="A502" s="458" t="s">
        <v>287</v>
      </c>
      <c r="B502" s="459"/>
      <c r="C502" s="459"/>
      <c r="D502" s="472"/>
      <c r="E502" s="462"/>
      <c r="F502" s="463"/>
      <c r="G502" s="463"/>
      <c r="H502" s="464"/>
      <c r="I502" s="464"/>
      <c r="J502" s="464"/>
      <c r="K502" s="464"/>
      <c r="L502" s="464"/>
      <c r="M502" s="464"/>
      <c r="N502" s="464"/>
      <c r="O502" s="464"/>
      <c r="P502" s="464"/>
      <c r="Q502" s="464"/>
      <c r="R502" s="473">
        <f t="shared" si="350"/>
        <v>0</v>
      </c>
      <c r="S502" s="437"/>
      <c r="T502" s="466" t="str">
        <f t="shared" si="351"/>
        <v>--</v>
      </c>
      <c r="U502" s="467"/>
      <c r="V502" s="467"/>
      <c r="W502" s="467"/>
      <c r="X502" s="468"/>
      <c r="Y502" s="469" t="str">
        <f t="shared" si="344"/>
        <v>-</v>
      </c>
      <c r="Z502" s="467"/>
      <c r="AA502" s="467"/>
      <c r="AB502" s="467"/>
      <c r="AC502" s="470"/>
    </row>
    <row r="503" spans="1:29" ht="12.75" customHeight="1" x14ac:dyDescent="0.25">
      <c r="A503" s="458" t="s">
        <v>287</v>
      </c>
      <c r="B503" s="459"/>
      <c r="C503" s="459"/>
      <c r="D503" s="472"/>
      <c r="E503" s="462"/>
      <c r="F503" s="463"/>
      <c r="G503" s="463"/>
      <c r="H503" s="464"/>
      <c r="I503" s="464"/>
      <c r="J503" s="464"/>
      <c r="K503" s="464"/>
      <c r="L503" s="464"/>
      <c r="M503" s="464"/>
      <c r="N503" s="464"/>
      <c r="O503" s="464"/>
      <c r="P503" s="464"/>
      <c r="Q503" s="464"/>
      <c r="R503" s="473">
        <f t="shared" si="350"/>
        <v>0</v>
      </c>
      <c r="S503" s="437"/>
      <c r="T503" s="466" t="str">
        <f t="shared" si="351"/>
        <v>--</v>
      </c>
      <c r="U503" s="467"/>
      <c r="V503" s="467"/>
      <c r="W503" s="467"/>
      <c r="X503" s="468"/>
      <c r="Y503" s="469" t="str">
        <f t="shared" si="344"/>
        <v>-</v>
      </c>
      <c r="Z503" s="467"/>
      <c r="AA503" s="467"/>
      <c r="AB503" s="467"/>
      <c r="AC503" s="470"/>
    </row>
    <row r="504" spans="1:29" ht="12.75" customHeight="1" x14ac:dyDescent="0.25">
      <c r="A504" s="458" t="s">
        <v>287</v>
      </c>
      <c r="B504" s="459"/>
      <c r="C504" s="459"/>
      <c r="D504" s="472"/>
      <c r="E504" s="462"/>
      <c r="F504" s="463"/>
      <c r="G504" s="463"/>
      <c r="H504" s="464"/>
      <c r="I504" s="464"/>
      <c r="J504" s="464"/>
      <c r="K504" s="464"/>
      <c r="L504" s="464"/>
      <c r="M504" s="464"/>
      <c r="N504" s="464"/>
      <c r="O504" s="464"/>
      <c r="P504" s="464"/>
      <c r="Q504" s="464"/>
      <c r="R504" s="473">
        <f t="shared" si="350"/>
        <v>0</v>
      </c>
      <c r="S504" s="437"/>
      <c r="T504" s="466" t="str">
        <f t="shared" si="351"/>
        <v>--</v>
      </c>
      <c r="U504" s="467"/>
      <c r="V504" s="467"/>
      <c r="W504" s="467"/>
      <c r="X504" s="468"/>
      <c r="Y504" s="469" t="str">
        <f t="shared" si="344"/>
        <v>-</v>
      </c>
      <c r="Z504" s="467"/>
      <c r="AA504" s="467"/>
      <c r="AB504" s="467"/>
      <c r="AC504" s="470"/>
    </row>
    <row r="505" spans="1:29" ht="12.75" customHeight="1" x14ac:dyDescent="0.25">
      <c r="A505" s="458" t="s">
        <v>287</v>
      </c>
      <c r="B505" s="459"/>
      <c r="C505" s="459"/>
      <c r="D505" s="472"/>
      <c r="E505" s="462"/>
      <c r="F505" s="463"/>
      <c r="G505" s="463"/>
      <c r="H505" s="474">
        <f>SUM(H398:H501)</f>
        <v>0</v>
      </c>
      <c r="I505" s="474">
        <f t="shared" ref="I505" si="352">SUM(I398:I500)</f>
        <v>25000</v>
      </c>
      <c r="J505" s="474">
        <f>SUM(J398:J501)</f>
        <v>25000</v>
      </c>
      <c r="K505" s="474">
        <f t="shared" ref="K505:P505" si="353">SUM(K398:K501)</f>
        <v>25000</v>
      </c>
      <c r="L505" s="474">
        <f t="shared" si="353"/>
        <v>25000</v>
      </c>
      <c r="M505" s="474">
        <f t="shared" si="353"/>
        <v>25000</v>
      </c>
      <c r="N505" s="474">
        <f t="shared" si="353"/>
        <v>25000</v>
      </c>
      <c r="O505" s="474">
        <f t="shared" si="353"/>
        <v>25000</v>
      </c>
      <c r="P505" s="474">
        <f t="shared" si="353"/>
        <v>25000</v>
      </c>
      <c r="Q505" s="474">
        <f>SUM(Q398:Q501)</f>
        <v>25000</v>
      </c>
      <c r="R505" s="475">
        <f t="shared" si="350"/>
        <v>225000</v>
      </c>
      <c r="S505" s="437"/>
      <c r="T505" s="466" t="str">
        <f t="shared" si="351"/>
        <v>--</v>
      </c>
      <c r="U505" s="467"/>
      <c r="V505" s="467"/>
      <c r="W505" s="467"/>
      <c r="X505" s="468"/>
      <c r="Y505" s="469" t="str">
        <f t="shared" si="344"/>
        <v>-</v>
      </c>
      <c r="Z505" s="467"/>
      <c r="AA505" s="467"/>
      <c r="AB505" s="467"/>
      <c r="AC505" s="470"/>
    </row>
    <row r="506" spans="1:29" ht="12.75" customHeight="1" x14ac:dyDescent="0.25">
      <c r="A506" s="458" t="s">
        <v>287</v>
      </c>
      <c r="B506" s="459"/>
      <c r="C506" s="459"/>
      <c r="D506" s="472"/>
      <c r="E506" s="462"/>
      <c r="F506" s="463"/>
      <c r="G506" s="463"/>
      <c r="H506" s="464"/>
      <c r="I506" s="464"/>
      <c r="J506" s="464"/>
      <c r="K506" s="464"/>
      <c r="L506" s="464"/>
      <c r="M506" s="464"/>
      <c r="N506" s="464"/>
      <c r="O506" s="464"/>
      <c r="P506" s="464"/>
      <c r="Q506" s="464"/>
      <c r="R506" s="473">
        <f t="shared" si="350"/>
        <v>0</v>
      </c>
      <c r="S506" s="437"/>
      <c r="T506" s="466" t="str">
        <f t="shared" si="351"/>
        <v>--</v>
      </c>
      <c r="U506" s="467"/>
      <c r="V506" s="467"/>
      <c r="W506" s="467"/>
      <c r="X506" s="468"/>
      <c r="Y506" s="469" t="str">
        <f t="shared" si="344"/>
        <v>-</v>
      </c>
      <c r="Z506" s="467"/>
      <c r="AA506" s="467"/>
      <c r="AB506" s="467"/>
      <c r="AC506" s="470"/>
    </row>
    <row r="507" spans="1:29" ht="12.75" customHeight="1" x14ac:dyDescent="0.25">
      <c r="A507" s="458" t="s">
        <v>287</v>
      </c>
      <c r="B507" s="459"/>
      <c r="C507" s="459"/>
      <c r="D507" s="472"/>
      <c r="E507" s="462"/>
      <c r="F507" s="463"/>
      <c r="G507" s="463"/>
      <c r="H507" s="464"/>
      <c r="I507" s="464"/>
      <c r="J507" s="464"/>
      <c r="K507" s="464"/>
      <c r="L507" s="464"/>
      <c r="M507" s="464"/>
      <c r="N507" s="464"/>
      <c r="O507" s="464"/>
      <c r="P507" s="464"/>
      <c r="Q507" s="464"/>
      <c r="R507" s="473">
        <f t="shared" si="350"/>
        <v>0</v>
      </c>
      <c r="S507" s="437"/>
      <c r="T507" s="466" t="str">
        <f t="shared" si="351"/>
        <v>--</v>
      </c>
      <c r="U507" s="467"/>
      <c r="V507" s="467"/>
      <c r="W507" s="467"/>
      <c r="X507" s="468"/>
      <c r="Y507" s="469" t="str">
        <f t="shared" si="344"/>
        <v>-</v>
      </c>
      <c r="Z507" s="467"/>
      <c r="AA507" s="467"/>
      <c r="AB507" s="467"/>
      <c r="AC507" s="470"/>
    </row>
    <row r="508" spans="1:29" ht="12.75" customHeight="1" x14ac:dyDescent="0.25">
      <c r="A508" s="458" t="s">
        <v>287</v>
      </c>
      <c r="B508" s="459"/>
      <c r="C508" s="459"/>
      <c r="D508" s="472"/>
      <c r="E508" s="462"/>
      <c r="F508" s="463"/>
      <c r="G508" s="463"/>
      <c r="H508" s="464"/>
      <c r="I508" s="464"/>
      <c r="J508" s="464"/>
      <c r="K508" s="464"/>
      <c r="L508" s="464"/>
      <c r="M508" s="464"/>
      <c r="N508" s="464"/>
      <c r="O508" s="464"/>
      <c r="P508" s="464"/>
      <c r="Q508" s="464"/>
      <c r="R508" s="473">
        <f t="shared" si="350"/>
        <v>0</v>
      </c>
      <c r="S508" s="437"/>
      <c r="T508" s="466" t="str">
        <f t="shared" si="351"/>
        <v>--</v>
      </c>
      <c r="U508" s="467"/>
      <c r="V508" s="467"/>
      <c r="W508" s="467"/>
      <c r="X508" s="468"/>
      <c r="Y508" s="469" t="str">
        <f t="shared" si="344"/>
        <v>-</v>
      </c>
      <c r="Z508" s="467"/>
      <c r="AA508" s="467"/>
      <c r="AB508" s="467"/>
      <c r="AC508" s="470"/>
    </row>
    <row r="509" spans="1:29" ht="12.75" customHeight="1" x14ac:dyDescent="0.25">
      <c r="A509" s="458" t="s">
        <v>287</v>
      </c>
      <c r="B509" s="459"/>
      <c r="C509" s="459"/>
      <c r="D509" s="472"/>
      <c r="E509" s="462"/>
      <c r="F509" s="463"/>
      <c r="G509" s="463"/>
      <c r="H509" s="464"/>
      <c r="I509" s="464"/>
      <c r="J509" s="464"/>
      <c r="K509" s="464"/>
      <c r="L509" s="464"/>
      <c r="M509" s="464"/>
      <c r="N509" s="464"/>
      <c r="O509" s="464"/>
      <c r="P509" s="464"/>
      <c r="Q509" s="464"/>
      <c r="R509" s="473">
        <f t="shared" si="350"/>
        <v>0</v>
      </c>
      <c r="S509" s="437"/>
      <c r="T509" s="466" t="str">
        <f t="shared" si="351"/>
        <v>--</v>
      </c>
      <c r="U509" s="467"/>
      <c r="V509" s="467"/>
      <c r="W509" s="467"/>
      <c r="X509" s="468"/>
      <c r="Y509" s="469" t="str">
        <f t="shared" si="344"/>
        <v>-</v>
      </c>
      <c r="Z509" s="467"/>
      <c r="AA509" s="467"/>
      <c r="AB509" s="467"/>
      <c r="AC509" s="470"/>
    </row>
    <row r="510" spans="1:29" ht="12.75" customHeight="1" x14ac:dyDescent="0.25">
      <c r="A510" s="458" t="s">
        <v>287</v>
      </c>
      <c r="B510" s="459"/>
      <c r="C510" s="459"/>
      <c r="D510" s="472"/>
      <c r="E510" s="462"/>
      <c r="F510" s="463"/>
      <c r="G510" s="463"/>
      <c r="H510" s="464"/>
      <c r="I510" s="464"/>
      <c r="J510" s="464"/>
      <c r="K510" s="464"/>
      <c r="L510" s="464"/>
      <c r="M510" s="464"/>
      <c r="N510" s="464"/>
      <c r="O510" s="464"/>
      <c r="P510" s="464"/>
      <c r="Q510" s="464"/>
      <c r="R510" s="473">
        <f t="shared" si="350"/>
        <v>0</v>
      </c>
      <c r="S510" s="437"/>
      <c r="T510" s="466" t="str">
        <f t="shared" si="351"/>
        <v>--</v>
      </c>
      <c r="U510" s="467"/>
      <c r="V510" s="467"/>
      <c r="W510" s="467"/>
      <c r="X510" s="468"/>
      <c r="Y510" s="469" t="str">
        <f t="shared" si="344"/>
        <v>-</v>
      </c>
      <c r="Z510" s="467"/>
      <c r="AA510" s="467"/>
      <c r="AB510" s="467"/>
      <c r="AC510" s="470"/>
    </row>
    <row r="511" spans="1:29" ht="12.75" customHeight="1" x14ac:dyDescent="0.25">
      <c r="A511" s="458" t="s">
        <v>287</v>
      </c>
      <c r="B511" s="459"/>
      <c r="C511" s="459"/>
      <c r="D511" s="472"/>
      <c r="E511" s="462"/>
      <c r="F511" s="463"/>
      <c r="G511" s="463"/>
      <c r="H511" s="464"/>
      <c r="I511" s="464"/>
      <c r="J511" s="464"/>
      <c r="K511" s="464"/>
      <c r="L511" s="464"/>
      <c r="M511" s="464"/>
      <c r="N511" s="464"/>
      <c r="O511" s="464"/>
      <c r="P511" s="464"/>
      <c r="Q511" s="464"/>
      <c r="R511" s="473">
        <f t="shared" si="350"/>
        <v>0</v>
      </c>
      <c r="S511" s="437"/>
      <c r="T511" s="466" t="str">
        <f t="shared" si="351"/>
        <v>--</v>
      </c>
      <c r="U511" s="467"/>
      <c r="V511" s="467"/>
      <c r="W511" s="467"/>
      <c r="X511" s="468"/>
      <c r="Y511" s="469" t="str">
        <f t="shared" si="344"/>
        <v>-</v>
      </c>
      <c r="Z511" s="467"/>
      <c r="AA511" s="467"/>
      <c r="AB511" s="467"/>
      <c r="AC511" s="470"/>
    </row>
    <row r="512" spans="1:29" ht="12.75" customHeight="1" x14ac:dyDescent="0.25">
      <c r="A512" s="458" t="s">
        <v>287</v>
      </c>
      <c r="B512" s="459"/>
      <c r="C512" s="459"/>
      <c r="D512" s="472"/>
      <c r="E512" s="462"/>
      <c r="F512" s="463"/>
      <c r="G512" s="463"/>
      <c r="H512" s="464"/>
      <c r="I512" s="464"/>
      <c r="J512" s="464"/>
      <c r="K512" s="464"/>
      <c r="L512" s="464"/>
      <c r="M512" s="464"/>
      <c r="N512" s="464"/>
      <c r="O512" s="464"/>
      <c r="P512" s="464"/>
      <c r="Q512" s="464"/>
      <c r="R512" s="473">
        <f t="shared" si="350"/>
        <v>0</v>
      </c>
      <c r="S512" s="437"/>
      <c r="T512" s="466" t="str">
        <f t="shared" si="351"/>
        <v>--</v>
      </c>
      <c r="U512" s="467"/>
      <c r="V512" s="467"/>
      <c r="W512" s="467"/>
      <c r="X512" s="468"/>
      <c r="Y512" s="469" t="str">
        <f t="shared" si="344"/>
        <v>-</v>
      </c>
      <c r="Z512" s="467"/>
      <c r="AA512" s="467"/>
      <c r="AB512" s="467"/>
      <c r="AC512" s="470"/>
    </row>
    <row r="513" spans="1:29" ht="12.75" customHeight="1" x14ac:dyDescent="0.25">
      <c r="A513" s="458" t="s">
        <v>287</v>
      </c>
      <c r="B513" s="459"/>
      <c r="C513" s="459"/>
      <c r="D513" s="472"/>
      <c r="E513" s="462"/>
      <c r="F513" s="463"/>
      <c r="G513" s="463"/>
      <c r="H513" s="464"/>
      <c r="I513" s="464"/>
      <c r="J513" s="464"/>
      <c r="K513" s="464"/>
      <c r="L513" s="464"/>
      <c r="M513" s="464"/>
      <c r="N513" s="464"/>
      <c r="O513" s="464"/>
      <c r="P513" s="464"/>
      <c r="Q513" s="464"/>
      <c r="R513" s="473">
        <f t="shared" si="350"/>
        <v>0</v>
      </c>
      <c r="S513" s="437"/>
      <c r="T513" s="466" t="str">
        <f t="shared" si="351"/>
        <v>--</v>
      </c>
      <c r="U513" s="467"/>
      <c r="V513" s="467"/>
      <c r="W513" s="467"/>
      <c r="X513" s="468"/>
      <c r="Y513" s="469" t="str">
        <f t="shared" si="344"/>
        <v>-</v>
      </c>
      <c r="Z513" s="467"/>
      <c r="AA513" s="467"/>
      <c r="AB513" s="467"/>
      <c r="AC513" s="470"/>
    </row>
    <row r="514" spans="1:29" ht="12.75" customHeight="1" x14ac:dyDescent="0.25">
      <c r="A514" s="458" t="s">
        <v>287</v>
      </c>
      <c r="B514" s="459"/>
      <c r="C514" s="459"/>
      <c r="D514" s="472"/>
      <c r="E514" s="462"/>
      <c r="F514" s="463"/>
      <c r="G514" s="463"/>
      <c r="H514" s="464"/>
      <c r="I514" s="464"/>
      <c r="J514" s="464"/>
      <c r="K514" s="464"/>
      <c r="L514" s="464"/>
      <c r="M514" s="464"/>
      <c r="N514" s="464"/>
      <c r="O514" s="464"/>
      <c r="P514" s="464"/>
      <c r="Q514" s="464"/>
      <c r="R514" s="473">
        <f t="shared" si="350"/>
        <v>0</v>
      </c>
      <c r="S514" s="437"/>
      <c r="T514" s="466" t="str">
        <f t="shared" si="351"/>
        <v>--</v>
      </c>
      <c r="U514" s="467"/>
      <c r="V514" s="467"/>
      <c r="W514" s="467"/>
      <c r="X514" s="468"/>
      <c r="Y514" s="469" t="str">
        <f t="shared" si="344"/>
        <v>-</v>
      </c>
      <c r="Z514" s="467"/>
      <c r="AA514" s="467"/>
      <c r="AB514" s="467"/>
      <c r="AC514" s="470"/>
    </row>
    <row r="515" spans="1:29" ht="12.75" customHeight="1" x14ac:dyDescent="0.25">
      <c r="A515" s="458" t="s">
        <v>287</v>
      </c>
      <c r="B515" s="459"/>
      <c r="C515" s="459"/>
      <c r="D515" s="472"/>
      <c r="E515" s="462"/>
      <c r="F515" s="463"/>
      <c r="G515" s="463"/>
      <c r="H515" s="464"/>
      <c r="I515" s="464"/>
      <c r="J515" s="464"/>
      <c r="K515" s="464"/>
      <c r="L515" s="464"/>
      <c r="M515" s="464"/>
      <c r="N515" s="464"/>
      <c r="O515" s="464"/>
      <c r="P515" s="464"/>
      <c r="Q515" s="464"/>
      <c r="R515" s="473">
        <f t="shared" si="350"/>
        <v>0</v>
      </c>
      <c r="S515" s="437"/>
      <c r="T515" s="466" t="str">
        <f t="shared" si="351"/>
        <v>--</v>
      </c>
      <c r="U515" s="467"/>
      <c r="V515" s="467"/>
      <c r="W515" s="467"/>
      <c r="X515" s="468"/>
      <c r="Y515" s="469" t="str">
        <f t="shared" si="344"/>
        <v>-</v>
      </c>
      <c r="Z515" s="467"/>
      <c r="AA515" s="467"/>
      <c r="AB515" s="467"/>
      <c r="AC515" s="470"/>
    </row>
    <row r="516" spans="1:29" ht="12.75" customHeight="1" x14ac:dyDescent="0.25">
      <c r="A516" s="458" t="s">
        <v>287</v>
      </c>
      <c r="B516" s="459"/>
      <c r="C516" s="459"/>
      <c r="D516" s="472"/>
      <c r="E516" s="462"/>
      <c r="F516" s="463"/>
      <c r="G516" s="463"/>
      <c r="H516" s="464"/>
      <c r="I516" s="464"/>
      <c r="J516" s="464"/>
      <c r="K516" s="464"/>
      <c r="L516" s="464"/>
      <c r="M516" s="464"/>
      <c r="N516" s="464"/>
      <c r="O516" s="464"/>
      <c r="P516" s="464"/>
      <c r="Q516" s="464"/>
      <c r="R516" s="473">
        <f t="shared" si="350"/>
        <v>0</v>
      </c>
      <c r="S516" s="437"/>
      <c r="T516" s="466" t="str">
        <f t="shared" si="351"/>
        <v>--</v>
      </c>
      <c r="U516" s="467"/>
      <c r="V516" s="467"/>
      <c r="W516" s="467"/>
      <c r="X516" s="468"/>
      <c r="Y516" s="469" t="str">
        <f t="shared" si="344"/>
        <v>-</v>
      </c>
      <c r="Z516" s="467"/>
      <c r="AA516" s="467"/>
      <c r="AB516" s="467"/>
      <c r="AC516" s="470"/>
    </row>
    <row r="517" spans="1:29" ht="12.75" customHeight="1" x14ac:dyDescent="0.25">
      <c r="A517" s="458" t="s">
        <v>287</v>
      </c>
      <c r="B517" s="459"/>
      <c r="C517" s="459"/>
      <c r="D517" s="472"/>
      <c r="E517" s="462"/>
      <c r="F517" s="463"/>
      <c r="G517" s="463"/>
      <c r="H517" s="464"/>
      <c r="I517" s="464"/>
      <c r="J517" s="464"/>
      <c r="K517" s="464"/>
      <c r="L517" s="464"/>
      <c r="M517" s="464"/>
      <c r="N517" s="464"/>
      <c r="O517" s="464"/>
      <c r="P517" s="464"/>
      <c r="Q517" s="464"/>
      <c r="R517" s="473">
        <f t="shared" si="350"/>
        <v>0</v>
      </c>
      <c r="S517" s="437"/>
      <c r="T517" s="466" t="str">
        <f t="shared" si="351"/>
        <v>--</v>
      </c>
      <c r="U517" s="467"/>
      <c r="V517" s="467"/>
      <c r="W517" s="467"/>
      <c r="X517" s="468"/>
      <c r="Y517" s="469" t="str">
        <f t="shared" si="344"/>
        <v>-</v>
      </c>
      <c r="Z517" s="467"/>
      <c r="AA517" s="467"/>
      <c r="AB517" s="467"/>
      <c r="AC517" s="470"/>
    </row>
    <row r="518" spans="1:29" ht="12.75" customHeight="1" x14ac:dyDescent="0.25">
      <c r="A518" s="458" t="s">
        <v>287</v>
      </c>
      <c r="B518" s="459"/>
      <c r="C518" s="459"/>
      <c r="D518" s="472"/>
      <c r="E518" s="462"/>
      <c r="F518" s="463"/>
      <c r="G518" s="463"/>
      <c r="H518" s="464"/>
      <c r="I518" s="464"/>
      <c r="J518" s="464"/>
      <c r="K518" s="464"/>
      <c r="L518" s="464"/>
      <c r="M518" s="464"/>
      <c r="N518" s="464"/>
      <c r="O518" s="464"/>
      <c r="P518" s="464"/>
      <c r="Q518" s="464"/>
      <c r="R518" s="473">
        <f t="shared" si="350"/>
        <v>0</v>
      </c>
      <c r="S518" s="437"/>
      <c r="T518" s="466" t="str">
        <f t="shared" si="351"/>
        <v>--</v>
      </c>
      <c r="U518" s="467"/>
      <c r="V518" s="467"/>
      <c r="W518" s="467"/>
      <c r="X518" s="468"/>
      <c r="Y518" s="469" t="str">
        <f t="shared" si="344"/>
        <v>-</v>
      </c>
      <c r="Z518" s="467"/>
      <c r="AA518" s="467"/>
      <c r="AB518" s="467"/>
      <c r="AC518" s="470"/>
    </row>
    <row r="519" spans="1:29" ht="12.75" customHeight="1" x14ac:dyDescent="0.25">
      <c r="A519" s="458" t="s">
        <v>287</v>
      </c>
      <c r="B519" s="459"/>
      <c r="C519" s="459"/>
      <c r="D519" s="472"/>
      <c r="E519" s="462"/>
      <c r="F519" s="463"/>
      <c r="G519" s="463"/>
      <c r="H519" s="464"/>
      <c r="I519" s="464"/>
      <c r="J519" s="464"/>
      <c r="K519" s="464"/>
      <c r="L519" s="464"/>
      <c r="M519" s="464"/>
      <c r="N519" s="464"/>
      <c r="O519" s="464"/>
      <c r="P519" s="464"/>
      <c r="Q519" s="464"/>
      <c r="R519" s="473">
        <f t="shared" si="350"/>
        <v>0</v>
      </c>
      <c r="S519" s="437"/>
      <c r="T519" s="466" t="str">
        <f t="shared" si="351"/>
        <v>--</v>
      </c>
      <c r="U519" s="467"/>
      <c r="V519" s="467"/>
      <c r="W519" s="467"/>
      <c r="X519" s="468"/>
      <c r="Y519" s="469" t="str">
        <f t="shared" si="344"/>
        <v>-</v>
      </c>
      <c r="Z519" s="467"/>
      <c r="AA519" s="467"/>
      <c r="AB519" s="467"/>
      <c r="AC519" s="470"/>
    </row>
    <row r="520" spans="1:29" ht="12.75" customHeight="1" x14ac:dyDescent="0.25">
      <c r="A520" s="458" t="s">
        <v>287</v>
      </c>
      <c r="B520" s="459"/>
      <c r="C520" s="459"/>
      <c r="D520" s="472"/>
      <c r="E520" s="462"/>
      <c r="F520" s="463"/>
      <c r="G520" s="463"/>
      <c r="H520" s="464"/>
      <c r="I520" s="464"/>
      <c r="J520" s="464"/>
      <c r="K520" s="464"/>
      <c r="L520" s="464"/>
      <c r="M520" s="464"/>
      <c r="N520" s="464"/>
      <c r="O520" s="464"/>
      <c r="P520" s="464"/>
      <c r="Q520" s="464"/>
      <c r="R520" s="473">
        <f t="shared" si="350"/>
        <v>0</v>
      </c>
      <c r="S520" s="437"/>
      <c r="T520" s="466" t="str">
        <f t="shared" si="351"/>
        <v>--</v>
      </c>
      <c r="U520" s="467"/>
      <c r="V520" s="467"/>
      <c r="W520" s="467"/>
      <c r="X520" s="468"/>
      <c r="Y520" s="469" t="str">
        <f t="shared" si="344"/>
        <v>-</v>
      </c>
      <c r="Z520" s="467"/>
      <c r="AA520" s="467"/>
      <c r="AB520" s="467"/>
      <c r="AC520" s="470"/>
    </row>
    <row r="521" spans="1:29" ht="12.75" customHeight="1" x14ac:dyDescent="0.25">
      <c r="A521" s="458" t="s">
        <v>287</v>
      </c>
      <c r="B521" s="459"/>
      <c r="C521" s="459"/>
      <c r="D521" s="472"/>
      <c r="E521" s="462"/>
      <c r="F521" s="463"/>
      <c r="G521" s="463"/>
      <c r="H521" s="464"/>
      <c r="I521" s="464"/>
      <c r="J521" s="464"/>
      <c r="K521" s="464"/>
      <c r="L521" s="464"/>
      <c r="M521" s="464"/>
      <c r="N521" s="464"/>
      <c r="O521" s="464"/>
      <c r="P521" s="464"/>
      <c r="Q521" s="464"/>
      <c r="R521" s="473">
        <f t="shared" si="350"/>
        <v>0</v>
      </c>
      <c r="S521" s="437"/>
      <c r="T521" s="466" t="str">
        <f t="shared" si="351"/>
        <v>--</v>
      </c>
      <c r="U521" s="467"/>
      <c r="V521" s="467"/>
      <c r="W521" s="467"/>
      <c r="X521" s="468"/>
      <c r="Y521" s="469" t="str">
        <f t="shared" si="344"/>
        <v>-</v>
      </c>
      <c r="Z521" s="467"/>
      <c r="AA521" s="467"/>
      <c r="AB521" s="467"/>
      <c r="AC521" s="470"/>
    </row>
    <row r="522" spans="1:29" ht="12.75" customHeight="1" x14ac:dyDescent="0.25">
      <c r="A522" s="458" t="s">
        <v>287</v>
      </c>
      <c r="B522" s="459"/>
      <c r="C522" s="459"/>
      <c r="D522" s="472"/>
      <c r="E522" s="462"/>
      <c r="F522" s="463"/>
      <c r="G522" s="463"/>
      <c r="H522" s="464"/>
      <c r="I522" s="464"/>
      <c r="J522" s="464"/>
      <c r="K522" s="464"/>
      <c r="L522" s="464"/>
      <c r="M522" s="464"/>
      <c r="N522" s="464"/>
      <c r="O522" s="464"/>
      <c r="P522" s="464"/>
      <c r="Q522" s="464"/>
      <c r="R522" s="473">
        <f t="shared" si="350"/>
        <v>0</v>
      </c>
      <c r="S522" s="437"/>
      <c r="T522" s="466" t="str">
        <f t="shared" si="351"/>
        <v>--</v>
      </c>
      <c r="U522" s="467"/>
      <c r="V522" s="467"/>
      <c r="W522" s="467"/>
      <c r="X522" s="468"/>
      <c r="Y522" s="469" t="str">
        <f t="shared" si="344"/>
        <v>-</v>
      </c>
      <c r="Z522" s="467"/>
      <c r="AA522" s="467"/>
      <c r="AB522" s="467"/>
      <c r="AC522" s="470"/>
    </row>
    <row r="523" spans="1:29" ht="12.75" customHeight="1" x14ac:dyDescent="0.25">
      <c r="A523" s="458" t="s">
        <v>287</v>
      </c>
      <c r="B523" s="459"/>
      <c r="C523" s="459"/>
      <c r="D523" s="472"/>
      <c r="E523" s="462"/>
      <c r="F523" s="463"/>
      <c r="G523" s="463"/>
      <c r="H523" s="464"/>
      <c r="I523" s="464"/>
      <c r="J523" s="464"/>
      <c r="K523" s="464"/>
      <c r="L523" s="464"/>
      <c r="M523" s="464"/>
      <c r="N523" s="464"/>
      <c r="O523" s="464"/>
      <c r="P523" s="464"/>
      <c r="Q523" s="464"/>
      <c r="R523" s="473">
        <f t="shared" si="350"/>
        <v>0</v>
      </c>
      <c r="S523" s="437"/>
      <c r="T523" s="466" t="str">
        <f t="shared" si="351"/>
        <v>--</v>
      </c>
      <c r="U523" s="467"/>
      <c r="V523" s="467"/>
      <c r="W523" s="467"/>
      <c r="X523" s="468"/>
      <c r="Y523" s="469" t="str">
        <f t="shared" si="344"/>
        <v>-</v>
      </c>
      <c r="Z523" s="467"/>
      <c r="AA523" s="467"/>
      <c r="AB523" s="467"/>
      <c r="AC523" s="470"/>
    </row>
    <row r="524" spans="1:29" ht="12.75" customHeight="1" x14ac:dyDescent="0.25">
      <c r="A524" s="458" t="s">
        <v>287</v>
      </c>
      <c r="B524" s="459"/>
      <c r="C524" s="459"/>
      <c r="D524" s="472"/>
      <c r="E524" s="462"/>
      <c r="F524" s="463"/>
      <c r="G524" s="463"/>
      <c r="H524" s="464"/>
      <c r="I524" s="464"/>
      <c r="J524" s="464"/>
      <c r="K524" s="464"/>
      <c r="L524" s="464"/>
      <c r="M524" s="464"/>
      <c r="N524" s="464"/>
      <c r="O524" s="464"/>
      <c r="P524" s="464"/>
      <c r="Q524" s="464"/>
      <c r="R524" s="473">
        <f t="shared" si="350"/>
        <v>0</v>
      </c>
      <c r="S524" s="437"/>
      <c r="T524" s="466" t="str">
        <f t="shared" si="351"/>
        <v>--</v>
      </c>
      <c r="U524" s="467"/>
      <c r="V524" s="467"/>
      <c r="W524" s="467"/>
      <c r="X524" s="468"/>
      <c r="Y524" s="469" t="str">
        <f t="shared" si="344"/>
        <v>-</v>
      </c>
      <c r="Z524" s="467"/>
      <c r="AA524" s="467"/>
      <c r="AB524" s="467"/>
      <c r="AC524" s="470"/>
    </row>
    <row r="525" spans="1:29" ht="12.75" customHeight="1" x14ac:dyDescent="0.25">
      <c r="A525" s="458" t="s">
        <v>287</v>
      </c>
      <c r="B525" s="459"/>
      <c r="C525" s="459"/>
      <c r="D525" s="472"/>
      <c r="E525" s="462"/>
      <c r="F525" s="463"/>
      <c r="G525" s="463"/>
      <c r="H525" s="464"/>
      <c r="I525" s="464"/>
      <c r="J525" s="464"/>
      <c r="K525" s="464"/>
      <c r="L525" s="464"/>
      <c r="M525" s="464"/>
      <c r="N525" s="464"/>
      <c r="O525" s="464"/>
      <c r="P525" s="464"/>
      <c r="Q525" s="464"/>
      <c r="R525" s="473">
        <f t="shared" si="350"/>
        <v>0</v>
      </c>
      <c r="S525" s="437"/>
      <c r="T525" s="466" t="str">
        <f t="shared" si="351"/>
        <v>--</v>
      </c>
      <c r="U525" s="467"/>
      <c r="V525" s="467"/>
      <c r="W525" s="467"/>
      <c r="X525" s="468"/>
      <c r="Y525" s="469" t="str">
        <f t="shared" si="344"/>
        <v>-</v>
      </c>
      <c r="Z525" s="467"/>
      <c r="AA525" s="467"/>
      <c r="AB525" s="467"/>
      <c r="AC525" s="470"/>
    </row>
    <row r="526" spans="1:29" ht="12.75" customHeight="1" x14ac:dyDescent="0.25">
      <c r="A526" s="458" t="s">
        <v>287</v>
      </c>
      <c r="B526" s="459"/>
      <c r="C526" s="459"/>
      <c r="D526" s="472"/>
      <c r="E526" s="462"/>
      <c r="F526" s="463"/>
      <c r="G526" s="463"/>
      <c r="H526" s="464"/>
      <c r="I526" s="464"/>
      <c r="J526" s="464"/>
      <c r="K526" s="464"/>
      <c r="L526" s="464"/>
      <c r="M526" s="464"/>
      <c r="N526" s="464"/>
      <c r="O526" s="464"/>
      <c r="P526" s="464"/>
      <c r="Q526" s="464"/>
      <c r="R526" s="473">
        <f t="shared" ref="R526:R547" si="354">SUM(H526:Q526)</f>
        <v>0</v>
      </c>
      <c r="S526" s="437"/>
      <c r="T526" s="466" t="str">
        <f t="shared" ref="T526:T547" si="355">F526&amp;"-"&amp;G526&amp;"-"&amp;E526</f>
        <v>--</v>
      </c>
      <c r="U526" s="467"/>
      <c r="V526" s="467"/>
      <c r="W526" s="467"/>
      <c r="X526" s="468"/>
      <c r="Y526" s="469" t="str">
        <f t="shared" si="344"/>
        <v>-</v>
      </c>
      <c r="Z526" s="467"/>
      <c r="AA526" s="467"/>
      <c r="AB526" s="467"/>
      <c r="AC526" s="470"/>
    </row>
    <row r="527" spans="1:29" ht="12.75" customHeight="1" x14ac:dyDescent="0.25">
      <c r="A527" s="458" t="s">
        <v>287</v>
      </c>
      <c r="B527" s="459"/>
      <c r="C527" s="459"/>
      <c r="D527" s="472"/>
      <c r="E527" s="462"/>
      <c r="F527" s="463"/>
      <c r="G527" s="463"/>
      <c r="H527" s="464"/>
      <c r="I527" s="464"/>
      <c r="J527" s="464"/>
      <c r="K527" s="464"/>
      <c r="L527" s="464"/>
      <c r="M527" s="464"/>
      <c r="N527" s="464"/>
      <c r="O527" s="464"/>
      <c r="P527" s="464"/>
      <c r="Q527" s="464"/>
      <c r="R527" s="473">
        <f t="shared" si="354"/>
        <v>0</v>
      </c>
      <c r="S527" s="437"/>
      <c r="T527" s="466" t="str">
        <f t="shared" si="355"/>
        <v>--</v>
      </c>
      <c r="U527" s="467"/>
      <c r="V527" s="467"/>
      <c r="W527" s="467"/>
      <c r="X527" s="468"/>
      <c r="Y527" s="469" t="str">
        <f t="shared" si="344"/>
        <v>-</v>
      </c>
      <c r="Z527" s="467"/>
      <c r="AA527" s="467"/>
      <c r="AB527" s="467"/>
      <c r="AC527" s="470"/>
    </row>
    <row r="528" spans="1:29" ht="12.75" customHeight="1" x14ac:dyDescent="0.25">
      <c r="A528" s="458" t="s">
        <v>287</v>
      </c>
      <c r="B528" s="459"/>
      <c r="C528" s="459"/>
      <c r="D528" s="472"/>
      <c r="E528" s="462"/>
      <c r="F528" s="463"/>
      <c r="G528" s="463"/>
      <c r="H528" s="464"/>
      <c r="I528" s="464"/>
      <c r="J528" s="464"/>
      <c r="K528" s="464"/>
      <c r="L528" s="464"/>
      <c r="M528" s="464"/>
      <c r="N528" s="464"/>
      <c r="O528" s="464"/>
      <c r="P528" s="464"/>
      <c r="Q528" s="464"/>
      <c r="R528" s="473">
        <f t="shared" si="354"/>
        <v>0</v>
      </c>
      <c r="S528" s="437"/>
      <c r="T528" s="466" t="str">
        <f t="shared" si="355"/>
        <v>--</v>
      </c>
      <c r="U528" s="467"/>
      <c r="V528" s="467"/>
      <c r="W528" s="467"/>
      <c r="X528" s="468"/>
      <c r="Y528" s="469" t="str">
        <f t="shared" si="344"/>
        <v>-</v>
      </c>
      <c r="Z528" s="467"/>
      <c r="AA528" s="467"/>
      <c r="AB528" s="467"/>
      <c r="AC528" s="470"/>
    </row>
    <row r="529" spans="1:29" ht="12.75" customHeight="1" x14ac:dyDescent="0.25">
      <c r="A529" s="458" t="s">
        <v>287</v>
      </c>
      <c r="B529" s="459"/>
      <c r="C529" s="459"/>
      <c r="D529" s="472"/>
      <c r="E529" s="462"/>
      <c r="F529" s="463"/>
      <c r="G529" s="463"/>
      <c r="H529" s="464"/>
      <c r="I529" s="464"/>
      <c r="J529" s="464"/>
      <c r="K529" s="464"/>
      <c r="L529" s="464"/>
      <c r="M529" s="464"/>
      <c r="N529" s="464"/>
      <c r="O529" s="464"/>
      <c r="P529" s="464"/>
      <c r="Q529" s="464"/>
      <c r="R529" s="473">
        <f t="shared" si="354"/>
        <v>0</v>
      </c>
      <c r="S529" s="437"/>
      <c r="T529" s="466" t="str">
        <f t="shared" si="355"/>
        <v>--</v>
      </c>
      <c r="U529" s="467"/>
      <c r="V529" s="467"/>
      <c r="W529" s="467"/>
      <c r="X529" s="468"/>
      <c r="Y529" s="469" t="str">
        <f t="shared" si="344"/>
        <v>-</v>
      </c>
      <c r="Z529" s="467"/>
      <c r="AA529" s="467"/>
      <c r="AB529" s="467"/>
      <c r="AC529" s="470"/>
    </row>
    <row r="530" spans="1:29" ht="12.75" customHeight="1" x14ac:dyDescent="0.25">
      <c r="A530" s="458" t="s">
        <v>287</v>
      </c>
      <c r="B530" s="459"/>
      <c r="C530" s="459"/>
      <c r="D530" s="472"/>
      <c r="E530" s="462"/>
      <c r="F530" s="463"/>
      <c r="G530" s="463"/>
      <c r="H530" s="464"/>
      <c r="I530" s="464"/>
      <c r="J530" s="464"/>
      <c r="K530" s="464"/>
      <c r="L530" s="464"/>
      <c r="M530" s="464"/>
      <c r="N530" s="464"/>
      <c r="O530" s="464"/>
      <c r="P530" s="464"/>
      <c r="Q530" s="464"/>
      <c r="R530" s="473">
        <f t="shared" si="354"/>
        <v>0</v>
      </c>
      <c r="S530" s="437"/>
      <c r="T530" s="466" t="str">
        <f t="shared" si="355"/>
        <v>--</v>
      </c>
      <c r="U530" s="467"/>
      <c r="V530" s="467"/>
      <c r="W530" s="467"/>
      <c r="X530" s="468"/>
      <c r="Y530" s="469" t="str">
        <f t="shared" si="344"/>
        <v>-</v>
      </c>
      <c r="Z530" s="467"/>
      <c r="AA530" s="467"/>
      <c r="AB530" s="467"/>
      <c r="AC530" s="470"/>
    </row>
    <row r="531" spans="1:29" ht="12.75" customHeight="1" x14ac:dyDescent="0.25">
      <c r="A531" s="458" t="s">
        <v>287</v>
      </c>
      <c r="B531" s="459"/>
      <c r="C531" s="459"/>
      <c r="D531" s="472"/>
      <c r="E531" s="462"/>
      <c r="F531" s="463"/>
      <c r="G531" s="463"/>
      <c r="H531" s="464"/>
      <c r="I531" s="464"/>
      <c r="J531" s="464"/>
      <c r="K531" s="464"/>
      <c r="L531" s="464"/>
      <c r="M531" s="464"/>
      <c r="N531" s="464"/>
      <c r="O531" s="464"/>
      <c r="P531" s="464"/>
      <c r="Q531" s="464"/>
      <c r="R531" s="473">
        <f t="shared" si="354"/>
        <v>0</v>
      </c>
      <c r="S531" s="437"/>
      <c r="T531" s="466" t="str">
        <f t="shared" si="355"/>
        <v>--</v>
      </c>
      <c r="U531" s="467"/>
      <c r="V531" s="467"/>
      <c r="W531" s="467"/>
      <c r="X531" s="468"/>
      <c r="Y531" s="469" t="str">
        <f t="shared" si="344"/>
        <v>-</v>
      </c>
      <c r="Z531" s="467"/>
      <c r="AA531" s="467"/>
      <c r="AB531" s="467"/>
      <c r="AC531" s="470"/>
    </row>
    <row r="532" spans="1:29" ht="12.75" customHeight="1" x14ac:dyDescent="0.25">
      <c r="A532" s="458" t="s">
        <v>287</v>
      </c>
      <c r="B532" s="459"/>
      <c r="C532" s="459"/>
      <c r="D532" s="472"/>
      <c r="E532" s="462"/>
      <c r="F532" s="463"/>
      <c r="G532" s="463"/>
      <c r="H532" s="464"/>
      <c r="I532" s="464"/>
      <c r="J532" s="464"/>
      <c r="K532" s="464"/>
      <c r="L532" s="464"/>
      <c r="M532" s="464"/>
      <c r="N532" s="464"/>
      <c r="O532" s="464"/>
      <c r="P532" s="464"/>
      <c r="Q532" s="464"/>
      <c r="R532" s="473">
        <f t="shared" si="354"/>
        <v>0</v>
      </c>
      <c r="S532" s="437"/>
      <c r="T532" s="466" t="str">
        <f t="shared" si="355"/>
        <v>--</v>
      </c>
      <c r="U532" s="467"/>
      <c r="V532" s="467"/>
      <c r="W532" s="467"/>
      <c r="X532" s="468"/>
      <c r="Y532" s="469" t="str">
        <f t="shared" si="344"/>
        <v>-</v>
      </c>
      <c r="Z532" s="467"/>
      <c r="AA532" s="467"/>
      <c r="AB532" s="467"/>
      <c r="AC532" s="470"/>
    </row>
    <row r="533" spans="1:29" ht="12.75" customHeight="1" x14ac:dyDescent="0.25">
      <c r="A533" s="458" t="s">
        <v>287</v>
      </c>
      <c r="B533" s="459"/>
      <c r="C533" s="459"/>
      <c r="D533" s="472"/>
      <c r="E533" s="462"/>
      <c r="F533" s="463"/>
      <c r="G533" s="463"/>
      <c r="H533" s="464"/>
      <c r="I533" s="464"/>
      <c r="J533" s="464"/>
      <c r="K533" s="464"/>
      <c r="L533" s="464"/>
      <c r="M533" s="464"/>
      <c r="N533" s="464"/>
      <c r="O533" s="464"/>
      <c r="P533" s="464"/>
      <c r="Q533" s="464"/>
      <c r="R533" s="473">
        <f t="shared" si="354"/>
        <v>0</v>
      </c>
      <c r="S533" s="437"/>
      <c r="T533" s="466" t="str">
        <f t="shared" si="355"/>
        <v>--</v>
      </c>
      <c r="U533" s="467"/>
      <c r="V533" s="467"/>
      <c r="W533" s="467"/>
      <c r="X533" s="468"/>
      <c r="Y533" s="469" t="str">
        <f t="shared" si="344"/>
        <v>-</v>
      </c>
      <c r="Z533" s="467"/>
      <c r="AA533" s="467"/>
      <c r="AB533" s="467"/>
      <c r="AC533" s="470"/>
    </row>
    <row r="534" spans="1:29" ht="12.75" customHeight="1" x14ac:dyDescent="0.25">
      <c r="A534" s="458" t="s">
        <v>287</v>
      </c>
      <c r="B534" s="459"/>
      <c r="C534" s="459"/>
      <c r="D534" s="472"/>
      <c r="E534" s="462"/>
      <c r="F534" s="463"/>
      <c r="G534" s="463"/>
      <c r="H534" s="464"/>
      <c r="I534" s="464"/>
      <c r="J534" s="464"/>
      <c r="K534" s="464"/>
      <c r="L534" s="464"/>
      <c r="M534" s="464"/>
      <c r="N534" s="464"/>
      <c r="O534" s="464"/>
      <c r="P534" s="464"/>
      <c r="Q534" s="464"/>
      <c r="R534" s="473">
        <f t="shared" si="354"/>
        <v>0</v>
      </c>
      <c r="S534" s="437"/>
      <c r="T534" s="466" t="str">
        <f t="shared" si="355"/>
        <v>--</v>
      </c>
      <c r="U534" s="467"/>
      <c r="V534" s="467"/>
      <c r="W534" s="467"/>
      <c r="X534" s="468"/>
      <c r="Y534" s="469" t="str">
        <f t="shared" si="344"/>
        <v>-</v>
      </c>
      <c r="Z534" s="467"/>
      <c r="AA534" s="467"/>
      <c r="AB534" s="467"/>
      <c r="AC534" s="470"/>
    </row>
    <row r="535" spans="1:29" ht="12.75" customHeight="1" x14ac:dyDescent="0.25">
      <c r="A535" s="458" t="s">
        <v>287</v>
      </c>
      <c r="B535" s="459"/>
      <c r="C535" s="459"/>
      <c r="D535" s="472"/>
      <c r="E535" s="462"/>
      <c r="F535" s="463"/>
      <c r="G535" s="463"/>
      <c r="H535" s="464"/>
      <c r="I535" s="464"/>
      <c r="J535" s="464"/>
      <c r="K535" s="464"/>
      <c r="L535" s="464"/>
      <c r="M535" s="464"/>
      <c r="N535" s="464"/>
      <c r="O535" s="464"/>
      <c r="P535" s="464"/>
      <c r="Q535" s="464"/>
      <c r="R535" s="473">
        <f t="shared" si="354"/>
        <v>0</v>
      </c>
      <c r="S535" s="437"/>
      <c r="T535" s="466" t="str">
        <f t="shared" si="355"/>
        <v>--</v>
      </c>
      <c r="U535" s="467"/>
      <c r="V535" s="467"/>
      <c r="W535" s="467"/>
      <c r="X535" s="468"/>
      <c r="Y535" s="469" t="str">
        <f t="shared" si="344"/>
        <v>-</v>
      </c>
      <c r="Z535" s="467"/>
      <c r="AA535" s="467"/>
      <c r="AB535" s="467"/>
      <c r="AC535" s="470"/>
    </row>
    <row r="536" spans="1:29" ht="12.75" customHeight="1" x14ac:dyDescent="0.25">
      <c r="A536" s="458" t="s">
        <v>287</v>
      </c>
      <c r="B536" s="459"/>
      <c r="C536" s="459"/>
      <c r="D536" s="472"/>
      <c r="E536" s="462"/>
      <c r="F536" s="463"/>
      <c r="G536" s="463"/>
      <c r="H536" s="464"/>
      <c r="I536" s="464"/>
      <c r="J536" s="464"/>
      <c r="K536" s="464"/>
      <c r="L536" s="464"/>
      <c r="M536" s="464"/>
      <c r="N536" s="464"/>
      <c r="O536" s="464"/>
      <c r="P536" s="464"/>
      <c r="Q536" s="464"/>
      <c r="R536" s="473">
        <f t="shared" si="354"/>
        <v>0</v>
      </c>
      <c r="S536" s="437"/>
      <c r="T536" s="466" t="str">
        <f t="shared" si="355"/>
        <v>--</v>
      </c>
      <c r="U536" s="467"/>
      <c r="V536" s="467"/>
      <c r="W536" s="467"/>
      <c r="X536" s="468"/>
      <c r="Y536" s="469" t="str">
        <f t="shared" si="344"/>
        <v>-</v>
      </c>
      <c r="Z536" s="467"/>
      <c r="AA536" s="467"/>
      <c r="AB536" s="467"/>
      <c r="AC536" s="470"/>
    </row>
    <row r="537" spans="1:29" ht="12.75" customHeight="1" x14ac:dyDescent="0.25">
      <c r="A537" s="458" t="s">
        <v>287</v>
      </c>
      <c r="B537" s="459"/>
      <c r="C537" s="459"/>
      <c r="D537" s="472"/>
      <c r="E537" s="462"/>
      <c r="F537" s="463"/>
      <c r="G537" s="463"/>
      <c r="H537" s="464"/>
      <c r="I537" s="464"/>
      <c r="J537" s="464"/>
      <c r="K537" s="464"/>
      <c r="L537" s="464"/>
      <c r="M537" s="464"/>
      <c r="N537" s="464"/>
      <c r="O537" s="464"/>
      <c r="P537" s="464"/>
      <c r="Q537" s="464"/>
      <c r="R537" s="473">
        <f t="shared" si="354"/>
        <v>0</v>
      </c>
      <c r="S537" s="437"/>
      <c r="T537" s="466" t="str">
        <f t="shared" si="355"/>
        <v>--</v>
      </c>
      <c r="U537" s="467"/>
      <c r="V537" s="467"/>
      <c r="W537" s="467"/>
      <c r="X537" s="468"/>
      <c r="Y537" s="469" t="str">
        <f t="shared" si="344"/>
        <v>-</v>
      </c>
      <c r="Z537" s="467"/>
      <c r="AA537" s="467"/>
      <c r="AB537" s="467"/>
      <c r="AC537" s="470"/>
    </row>
    <row r="538" spans="1:29" ht="12.75" customHeight="1" x14ac:dyDescent="0.25">
      <c r="A538" s="458" t="s">
        <v>287</v>
      </c>
      <c r="B538" s="459"/>
      <c r="C538" s="459"/>
      <c r="D538" s="472"/>
      <c r="E538" s="462"/>
      <c r="F538" s="463"/>
      <c r="G538" s="463"/>
      <c r="H538" s="464"/>
      <c r="I538" s="464"/>
      <c r="J538" s="464"/>
      <c r="K538" s="464"/>
      <c r="L538" s="464"/>
      <c r="M538" s="464"/>
      <c r="N538" s="464"/>
      <c r="O538" s="464"/>
      <c r="P538" s="464"/>
      <c r="Q538" s="464"/>
      <c r="R538" s="473">
        <f t="shared" si="354"/>
        <v>0</v>
      </c>
      <c r="S538" s="437"/>
      <c r="T538" s="466" t="str">
        <f t="shared" si="355"/>
        <v>--</v>
      </c>
      <c r="U538" s="467"/>
      <c r="V538" s="467"/>
      <c r="W538" s="467"/>
      <c r="X538" s="468"/>
      <c r="Y538" s="469" t="str">
        <f t="shared" si="344"/>
        <v>-</v>
      </c>
      <c r="Z538" s="467"/>
      <c r="AA538" s="467"/>
      <c r="AB538" s="467"/>
      <c r="AC538" s="470"/>
    </row>
    <row r="539" spans="1:29" ht="12.75" customHeight="1" x14ac:dyDescent="0.25">
      <c r="A539" s="458" t="s">
        <v>287</v>
      </c>
      <c r="B539" s="459"/>
      <c r="C539" s="459"/>
      <c r="D539" s="472"/>
      <c r="E539" s="462"/>
      <c r="F539" s="463"/>
      <c r="G539" s="463"/>
      <c r="H539" s="464"/>
      <c r="I539" s="464"/>
      <c r="J539" s="464"/>
      <c r="K539" s="464"/>
      <c r="L539" s="464"/>
      <c r="M539" s="464"/>
      <c r="N539" s="464"/>
      <c r="O539" s="464"/>
      <c r="P539" s="464"/>
      <c r="Q539" s="464"/>
      <c r="R539" s="473">
        <f t="shared" si="354"/>
        <v>0</v>
      </c>
      <c r="S539" s="437"/>
      <c r="T539" s="466" t="str">
        <f t="shared" si="355"/>
        <v>--</v>
      </c>
      <c r="U539" s="467"/>
      <c r="V539" s="467"/>
      <c r="W539" s="467"/>
      <c r="X539" s="468"/>
      <c r="Y539" s="469" t="str">
        <f t="shared" si="344"/>
        <v>-</v>
      </c>
      <c r="Z539" s="467"/>
      <c r="AA539" s="467"/>
      <c r="AB539" s="467"/>
      <c r="AC539" s="470"/>
    </row>
    <row r="540" spans="1:29" ht="12.75" customHeight="1" x14ac:dyDescent="0.25">
      <c r="A540" s="458" t="s">
        <v>287</v>
      </c>
      <c r="B540" s="459"/>
      <c r="C540" s="459"/>
      <c r="D540" s="472"/>
      <c r="E540" s="462"/>
      <c r="F540" s="463"/>
      <c r="G540" s="463"/>
      <c r="H540" s="464"/>
      <c r="I540" s="464"/>
      <c r="J540" s="464"/>
      <c r="K540" s="464"/>
      <c r="L540" s="464"/>
      <c r="M540" s="464"/>
      <c r="N540" s="464"/>
      <c r="O540" s="464"/>
      <c r="P540" s="464"/>
      <c r="Q540" s="464"/>
      <c r="R540" s="473">
        <f t="shared" si="354"/>
        <v>0</v>
      </c>
      <c r="S540" s="437"/>
      <c r="T540" s="466" t="str">
        <f t="shared" si="355"/>
        <v>--</v>
      </c>
      <c r="U540" s="467"/>
      <c r="V540" s="467"/>
      <c r="W540" s="467"/>
      <c r="X540" s="468"/>
      <c r="Y540" s="469" t="str">
        <f t="shared" si="344"/>
        <v>-</v>
      </c>
      <c r="Z540" s="467"/>
      <c r="AA540" s="467"/>
      <c r="AB540" s="467"/>
      <c r="AC540" s="470"/>
    </row>
    <row r="541" spans="1:29" ht="12.75" customHeight="1" x14ac:dyDescent="0.25">
      <c r="A541" s="458" t="s">
        <v>287</v>
      </c>
      <c r="B541" s="459"/>
      <c r="C541" s="459"/>
      <c r="D541" s="472"/>
      <c r="E541" s="462"/>
      <c r="F541" s="463"/>
      <c r="G541" s="463"/>
      <c r="H541" s="464"/>
      <c r="I541" s="464"/>
      <c r="J541" s="464"/>
      <c r="K541" s="464"/>
      <c r="L541" s="464"/>
      <c r="M541" s="464"/>
      <c r="N541" s="464"/>
      <c r="O541" s="464"/>
      <c r="P541" s="464"/>
      <c r="Q541" s="464"/>
      <c r="R541" s="473">
        <f t="shared" si="354"/>
        <v>0</v>
      </c>
      <c r="S541" s="437"/>
      <c r="T541" s="466" t="str">
        <f t="shared" si="355"/>
        <v>--</v>
      </c>
      <c r="U541" s="467"/>
      <c r="V541" s="467"/>
      <c r="W541" s="467"/>
      <c r="X541" s="468"/>
      <c r="Y541" s="469" t="str">
        <f t="shared" si="344"/>
        <v>-</v>
      </c>
      <c r="Z541" s="467"/>
      <c r="AA541" s="467"/>
      <c r="AB541" s="467"/>
      <c r="AC541" s="470"/>
    </row>
    <row r="542" spans="1:29" ht="12.75" customHeight="1" x14ac:dyDescent="0.25">
      <c r="A542" s="458" t="s">
        <v>287</v>
      </c>
      <c r="B542" s="459"/>
      <c r="C542" s="459"/>
      <c r="D542" s="472"/>
      <c r="E542" s="462"/>
      <c r="F542" s="463"/>
      <c r="G542" s="463"/>
      <c r="H542" s="464"/>
      <c r="I542" s="464"/>
      <c r="J542" s="464"/>
      <c r="K542" s="464"/>
      <c r="L542" s="464"/>
      <c r="M542" s="464"/>
      <c r="N542" s="464"/>
      <c r="O542" s="464"/>
      <c r="P542" s="464"/>
      <c r="Q542" s="464"/>
      <c r="R542" s="473">
        <f t="shared" si="354"/>
        <v>0</v>
      </c>
      <c r="S542" s="437"/>
      <c r="T542" s="466" t="str">
        <f t="shared" si="355"/>
        <v>--</v>
      </c>
      <c r="U542" s="467"/>
      <c r="V542" s="467"/>
      <c r="W542" s="467"/>
      <c r="X542" s="468"/>
      <c r="Y542" s="469" t="str">
        <f t="shared" si="344"/>
        <v>-</v>
      </c>
      <c r="Z542" s="467"/>
      <c r="AA542" s="467"/>
      <c r="AB542" s="467"/>
      <c r="AC542" s="470"/>
    </row>
    <row r="543" spans="1:29" ht="12.75" customHeight="1" x14ac:dyDescent="0.25">
      <c r="A543" s="458" t="s">
        <v>287</v>
      </c>
      <c r="B543" s="459"/>
      <c r="C543" s="459"/>
      <c r="D543" s="472"/>
      <c r="E543" s="462"/>
      <c r="F543" s="463"/>
      <c r="G543" s="463"/>
      <c r="H543" s="464"/>
      <c r="I543" s="464"/>
      <c r="J543" s="464"/>
      <c r="K543" s="464"/>
      <c r="L543" s="464"/>
      <c r="M543" s="464"/>
      <c r="N543" s="464"/>
      <c r="O543" s="464"/>
      <c r="P543" s="464"/>
      <c r="Q543" s="464"/>
      <c r="R543" s="473">
        <f t="shared" si="354"/>
        <v>0</v>
      </c>
      <c r="S543" s="437"/>
      <c r="T543" s="466" t="str">
        <f t="shared" si="355"/>
        <v>--</v>
      </c>
      <c r="U543" s="467"/>
      <c r="V543" s="467"/>
      <c r="W543" s="467"/>
      <c r="X543" s="468"/>
      <c r="Y543" s="469" t="str">
        <f t="shared" si="344"/>
        <v>-</v>
      </c>
      <c r="Z543" s="467"/>
      <c r="AA543" s="467"/>
      <c r="AB543" s="467"/>
      <c r="AC543" s="470"/>
    </row>
    <row r="544" spans="1:29" ht="12.75" customHeight="1" x14ac:dyDescent="0.25">
      <c r="A544" s="458" t="s">
        <v>287</v>
      </c>
      <c r="B544" s="459"/>
      <c r="C544" s="459"/>
      <c r="D544" s="472"/>
      <c r="E544" s="462"/>
      <c r="F544" s="463"/>
      <c r="G544" s="463"/>
      <c r="H544" s="464"/>
      <c r="I544" s="464"/>
      <c r="J544" s="464"/>
      <c r="K544" s="464"/>
      <c r="L544" s="464"/>
      <c r="M544" s="464"/>
      <c r="N544" s="464"/>
      <c r="O544" s="464"/>
      <c r="P544" s="464"/>
      <c r="Q544" s="464"/>
      <c r="R544" s="473">
        <f t="shared" si="354"/>
        <v>0</v>
      </c>
      <c r="S544" s="437"/>
      <c r="T544" s="466" t="str">
        <f t="shared" si="355"/>
        <v>--</v>
      </c>
      <c r="U544" s="467"/>
      <c r="V544" s="467"/>
      <c r="W544" s="467"/>
      <c r="X544" s="468"/>
      <c r="Y544" s="469" t="str">
        <f t="shared" si="344"/>
        <v>-</v>
      </c>
      <c r="Z544" s="467"/>
      <c r="AA544" s="467"/>
      <c r="AB544" s="467"/>
      <c r="AC544" s="470"/>
    </row>
    <row r="545" spans="1:29" ht="12.75" customHeight="1" x14ac:dyDescent="0.25">
      <c r="A545" s="458" t="s">
        <v>287</v>
      </c>
      <c r="B545" s="459"/>
      <c r="C545" s="459"/>
      <c r="D545" s="472"/>
      <c r="E545" s="462"/>
      <c r="F545" s="463"/>
      <c r="G545" s="463"/>
      <c r="H545" s="464"/>
      <c r="I545" s="464"/>
      <c r="J545" s="464"/>
      <c r="K545" s="464"/>
      <c r="L545" s="464"/>
      <c r="M545" s="464"/>
      <c r="N545" s="464"/>
      <c r="O545" s="464"/>
      <c r="P545" s="464"/>
      <c r="Q545" s="464"/>
      <c r="R545" s="473">
        <f t="shared" si="354"/>
        <v>0</v>
      </c>
      <c r="S545" s="437"/>
      <c r="T545" s="466" t="str">
        <f t="shared" si="355"/>
        <v>--</v>
      </c>
      <c r="U545" s="467"/>
      <c r="V545" s="467"/>
      <c r="W545" s="467"/>
      <c r="X545" s="468"/>
      <c r="Y545" s="469" t="str">
        <f t="shared" si="344"/>
        <v>-</v>
      </c>
      <c r="Z545" s="467"/>
      <c r="AA545" s="467"/>
      <c r="AB545" s="467"/>
      <c r="AC545" s="470"/>
    </row>
    <row r="546" spans="1:29" ht="12.75" customHeight="1" x14ac:dyDescent="0.25">
      <c r="A546" s="458" t="s">
        <v>287</v>
      </c>
      <c r="B546" s="459"/>
      <c r="C546" s="459"/>
      <c r="D546" s="472"/>
      <c r="E546" s="462"/>
      <c r="F546" s="463"/>
      <c r="G546" s="463"/>
      <c r="H546" s="464"/>
      <c r="I546" s="464"/>
      <c r="J546" s="464"/>
      <c r="K546" s="464"/>
      <c r="L546" s="464"/>
      <c r="M546" s="464"/>
      <c r="N546" s="464"/>
      <c r="O546" s="464"/>
      <c r="P546" s="464"/>
      <c r="Q546" s="464"/>
      <c r="R546" s="473">
        <f t="shared" si="354"/>
        <v>0</v>
      </c>
      <c r="S546" s="437"/>
      <c r="T546" s="466" t="str">
        <f t="shared" si="355"/>
        <v>--</v>
      </c>
      <c r="U546" s="467"/>
      <c r="V546" s="467"/>
      <c r="W546" s="467"/>
      <c r="X546" s="468"/>
      <c r="Y546" s="469" t="str">
        <f t="shared" si="344"/>
        <v>-</v>
      </c>
      <c r="Z546" s="467"/>
      <c r="AA546" s="467"/>
      <c r="AB546" s="467"/>
      <c r="AC546" s="470"/>
    </row>
    <row r="547" spans="1:29" ht="12.75" customHeight="1" x14ac:dyDescent="0.25">
      <c r="A547" s="458" t="s">
        <v>287</v>
      </c>
      <c r="B547" s="459"/>
      <c r="C547" s="459"/>
      <c r="D547" s="472"/>
      <c r="E547" s="462"/>
      <c r="F547" s="463"/>
      <c r="G547" s="463"/>
      <c r="H547" s="464"/>
      <c r="I547" s="464"/>
      <c r="J547" s="464"/>
      <c r="K547" s="464"/>
      <c r="L547" s="464"/>
      <c r="M547" s="464"/>
      <c r="N547" s="464"/>
      <c r="O547" s="464"/>
      <c r="P547" s="464"/>
      <c r="Q547" s="464"/>
      <c r="R547" s="473">
        <f t="shared" si="354"/>
        <v>0</v>
      </c>
      <c r="S547" s="437"/>
      <c r="T547" s="466" t="str">
        <f t="shared" si="355"/>
        <v>--</v>
      </c>
      <c r="U547" s="467"/>
      <c r="V547" s="467"/>
      <c r="W547" s="467"/>
      <c r="X547" s="468"/>
      <c r="Y547" s="469" t="str">
        <f t="shared" si="344"/>
        <v>-</v>
      </c>
      <c r="Z547" s="467"/>
      <c r="AA547" s="467"/>
      <c r="AB547" s="467"/>
      <c r="AC547" s="470"/>
    </row>
    <row r="548" spans="1:29" ht="12.75" customHeight="1" x14ac:dyDescent="0.25">
      <c r="A548" s="453"/>
      <c r="B548" s="454"/>
      <c r="C548" s="454"/>
      <c r="D548" s="455"/>
      <c r="E548" s="455"/>
      <c r="F548" s="476"/>
      <c r="G548" s="476"/>
      <c r="H548" s="453">
        <f>H397</f>
        <v>2025</v>
      </c>
      <c r="I548" s="454">
        <f>I397</f>
        <v>2026</v>
      </c>
      <c r="J548" s="454">
        <f>J397</f>
        <v>2027</v>
      </c>
      <c r="K548" s="454">
        <f t="shared" ref="K548:P548" si="356">K397</f>
        <v>2028</v>
      </c>
      <c r="L548" s="454">
        <f t="shared" si="356"/>
        <v>2029</v>
      </c>
      <c r="M548" s="454">
        <f t="shared" si="356"/>
        <v>2030</v>
      </c>
      <c r="N548" s="454">
        <f t="shared" si="356"/>
        <v>2031</v>
      </c>
      <c r="O548" s="454">
        <f t="shared" si="356"/>
        <v>2032</v>
      </c>
      <c r="P548" s="454">
        <f t="shared" si="356"/>
        <v>2033</v>
      </c>
      <c r="Q548" s="455">
        <f>Q397</f>
        <v>2034</v>
      </c>
      <c r="R548" s="453" t="s">
        <v>284</v>
      </c>
      <c r="T548" s="453"/>
      <c r="U548" s="454"/>
      <c r="V548" s="454"/>
      <c r="W548" s="455"/>
      <c r="X548" s="455"/>
      <c r="Y548" s="455"/>
      <c r="Z548" s="476"/>
      <c r="AA548" s="476"/>
      <c r="AB548" s="476"/>
      <c r="AC548" s="476"/>
    </row>
    <row r="549" spans="1:29" ht="12.75" customHeight="1" x14ac:dyDescent="0.25">
      <c r="A549" s="458" t="s">
        <v>288</v>
      </c>
      <c r="B549" s="459"/>
      <c r="C549" s="459"/>
      <c r="D549" s="472"/>
      <c r="E549" s="462"/>
      <c r="F549" s="536"/>
      <c r="G549" s="463"/>
      <c r="H549" s="464">
        <v>0</v>
      </c>
      <c r="I549" s="464">
        <v>0</v>
      </c>
      <c r="J549" s="464">
        <v>0</v>
      </c>
      <c r="K549" s="464">
        <v>0</v>
      </c>
      <c r="L549" s="464">
        <v>0</v>
      </c>
      <c r="M549" s="464">
        <v>0</v>
      </c>
      <c r="N549" s="464">
        <v>0</v>
      </c>
      <c r="O549" s="464">
        <v>0</v>
      </c>
      <c r="P549" s="464">
        <v>0</v>
      </c>
      <c r="Q549" s="464">
        <v>0</v>
      </c>
      <c r="R549" s="473">
        <f t="shared" ref="R549:R580" si="357">SUM(H549:Q549)</f>
        <v>0</v>
      </c>
      <c r="S549" s="437"/>
      <c r="T549" s="466" t="str">
        <f t="shared" ref="T549:T598" si="358">F549&amp;"-"&amp;G549&amp;"-"&amp;E549</f>
        <v>--</v>
      </c>
      <c r="U549" s="467"/>
      <c r="V549" s="467"/>
      <c r="W549" s="467"/>
      <c r="X549" s="468"/>
      <c r="Y549" s="469" t="str">
        <f t="shared" ref="Y549:Y598" si="359">$F549&amp;"-"&amp;$G549</f>
        <v>-</v>
      </c>
      <c r="Z549" s="467"/>
      <c r="AA549" s="467"/>
      <c r="AB549" s="467"/>
      <c r="AC549" s="470"/>
    </row>
    <row r="550" spans="1:29" ht="12.75" customHeight="1" x14ac:dyDescent="0.25">
      <c r="A550" s="458" t="s">
        <v>288</v>
      </c>
      <c r="B550" s="459" t="s">
        <v>391</v>
      </c>
      <c r="C550" s="459"/>
      <c r="D550" s="472"/>
      <c r="E550" s="462" t="s">
        <v>289</v>
      </c>
      <c r="F550" s="536" t="s">
        <v>367</v>
      </c>
      <c r="G550" s="463" t="s">
        <v>416</v>
      </c>
      <c r="H550" s="464">
        <v>250000</v>
      </c>
      <c r="I550" s="464">
        <v>0</v>
      </c>
      <c r="J550" s="464">
        <v>0</v>
      </c>
      <c r="K550" s="464">
        <v>0</v>
      </c>
      <c r="L550" s="464">
        <v>0</v>
      </c>
      <c r="M550" s="464">
        <v>0</v>
      </c>
      <c r="N550" s="464">
        <v>0</v>
      </c>
      <c r="O550" s="464">
        <v>0</v>
      </c>
      <c r="P550" s="464">
        <v>0</v>
      </c>
      <c r="Q550" s="464">
        <v>0</v>
      </c>
      <c r="R550" s="473">
        <f t="shared" si="357"/>
        <v>250000</v>
      </c>
      <c r="S550" s="437"/>
      <c r="T550" s="466" t="str">
        <f t="shared" si="358"/>
        <v>Yes-Grant-Pumping &amp; Interceptors</v>
      </c>
      <c r="U550" s="467"/>
      <c r="V550" s="467"/>
      <c r="W550" s="467"/>
      <c r="X550" s="468"/>
      <c r="Y550" s="469" t="str">
        <f t="shared" si="359"/>
        <v>Yes-Grant</v>
      </c>
      <c r="Z550" s="467"/>
      <c r="AA550" s="467"/>
      <c r="AB550" s="467"/>
      <c r="AC550" s="470"/>
    </row>
    <row r="551" spans="1:29" ht="12.75" customHeight="1" x14ac:dyDescent="0.25">
      <c r="A551" s="458" t="s">
        <v>288</v>
      </c>
      <c r="B551" s="459" t="s">
        <v>392</v>
      </c>
      <c r="C551" s="459"/>
      <c r="D551" s="472"/>
      <c r="E551" s="462" t="s">
        <v>289</v>
      </c>
      <c r="F551" s="536" t="s">
        <v>367</v>
      </c>
      <c r="G551" s="463" t="s">
        <v>416</v>
      </c>
      <c r="H551" s="464">
        <v>250000</v>
      </c>
      <c r="I551" s="464">
        <v>0</v>
      </c>
      <c r="J551" s="464">
        <v>0</v>
      </c>
      <c r="K551" s="464">
        <v>0</v>
      </c>
      <c r="L551" s="464">
        <v>0</v>
      </c>
      <c r="M551" s="464">
        <v>0</v>
      </c>
      <c r="N551" s="464">
        <v>0</v>
      </c>
      <c r="O551" s="464">
        <v>0</v>
      </c>
      <c r="P551" s="464">
        <v>0</v>
      </c>
      <c r="Q551" s="464">
        <v>0</v>
      </c>
      <c r="R551" s="473">
        <f t="shared" si="357"/>
        <v>250000</v>
      </c>
      <c r="S551" s="437"/>
      <c r="T551" s="466" t="str">
        <f t="shared" si="358"/>
        <v>Yes-Grant-Pumping &amp; Interceptors</v>
      </c>
      <c r="U551" s="467"/>
      <c r="V551" s="467"/>
      <c r="W551" s="467"/>
      <c r="X551" s="468"/>
      <c r="Y551" s="469" t="str">
        <f t="shared" si="359"/>
        <v>Yes-Grant</v>
      </c>
      <c r="Z551" s="467"/>
      <c r="AA551" s="467"/>
      <c r="AB551" s="467"/>
      <c r="AC551" s="470"/>
    </row>
    <row r="552" spans="1:29" ht="12.75" customHeight="1" x14ac:dyDescent="0.25">
      <c r="A552" s="458" t="s">
        <v>288</v>
      </c>
      <c r="B552" s="459" t="s">
        <v>393</v>
      </c>
      <c r="C552" s="459"/>
      <c r="D552" s="472"/>
      <c r="E552" s="462" t="s">
        <v>289</v>
      </c>
      <c r="F552" s="536" t="s">
        <v>367</v>
      </c>
      <c r="G552" s="463" t="s">
        <v>416</v>
      </c>
      <c r="H552" s="464">
        <v>150000</v>
      </c>
      <c r="I552" s="464">
        <v>0</v>
      </c>
      <c r="J552" s="464">
        <v>0</v>
      </c>
      <c r="K552" s="464">
        <v>0</v>
      </c>
      <c r="L552" s="464">
        <v>0</v>
      </c>
      <c r="M552" s="464">
        <v>0</v>
      </c>
      <c r="N552" s="464">
        <v>0</v>
      </c>
      <c r="O552" s="464">
        <v>0</v>
      </c>
      <c r="P552" s="464">
        <v>0</v>
      </c>
      <c r="Q552" s="464">
        <v>0</v>
      </c>
      <c r="R552" s="473">
        <f t="shared" si="357"/>
        <v>150000</v>
      </c>
      <c r="S552" s="437"/>
      <c r="T552" s="466" t="str">
        <f t="shared" si="358"/>
        <v>Yes-Grant-Pumping &amp; Interceptors</v>
      </c>
      <c r="U552" s="467"/>
      <c r="V552" s="467"/>
      <c r="W552" s="467"/>
      <c r="X552" s="468"/>
      <c r="Y552" s="469" t="str">
        <f t="shared" si="359"/>
        <v>Yes-Grant</v>
      </c>
      <c r="Z552" s="467"/>
      <c r="AA552" s="467"/>
      <c r="AB552" s="467"/>
      <c r="AC552" s="470"/>
    </row>
    <row r="553" spans="1:29" ht="12.75" customHeight="1" x14ac:dyDescent="0.25">
      <c r="A553" s="458" t="s">
        <v>288</v>
      </c>
      <c r="B553" s="459" t="s">
        <v>417</v>
      </c>
      <c r="C553" s="459"/>
      <c r="D553" s="472"/>
      <c r="E553" s="462" t="s">
        <v>289</v>
      </c>
      <c r="F553" s="536" t="s">
        <v>367</v>
      </c>
      <c r="G553" s="463" t="s">
        <v>368</v>
      </c>
      <c r="H553" s="464">
        <v>0</v>
      </c>
      <c r="I553" s="464">
        <v>200000</v>
      </c>
      <c r="J553" s="464">
        <v>0</v>
      </c>
      <c r="K553" s="464">
        <v>0</v>
      </c>
      <c r="L553" s="464">
        <v>0</v>
      </c>
      <c r="M553" s="464">
        <v>0</v>
      </c>
      <c r="N553" s="464">
        <v>0</v>
      </c>
      <c r="O553" s="464">
        <v>0</v>
      </c>
      <c r="P553" s="464">
        <v>0</v>
      </c>
      <c r="Q553" s="464">
        <v>0</v>
      </c>
      <c r="R553" s="473">
        <f t="shared" si="357"/>
        <v>200000</v>
      </c>
      <c r="S553" s="437"/>
      <c r="T553" s="466" t="str">
        <f t="shared" si="358"/>
        <v>Yes-Cash-Pumping &amp; Interceptors</v>
      </c>
      <c r="U553" s="467"/>
      <c r="V553" s="467"/>
      <c r="W553" s="467"/>
      <c r="X553" s="468"/>
      <c r="Y553" s="469" t="str">
        <f t="shared" si="359"/>
        <v>Yes-Cash</v>
      </c>
      <c r="Z553" s="467"/>
      <c r="AA553" s="467"/>
      <c r="AB553" s="467"/>
      <c r="AC553" s="470"/>
    </row>
    <row r="554" spans="1:29" ht="12.75" customHeight="1" x14ac:dyDescent="0.25">
      <c r="A554" s="458" t="s">
        <v>288</v>
      </c>
      <c r="B554" s="459" t="s">
        <v>418</v>
      </c>
      <c r="C554" s="459"/>
      <c r="D554" s="472"/>
      <c r="E554" s="462" t="s">
        <v>289</v>
      </c>
      <c r="F554" s="536" t="s">
        <v>367</v>
      </c>
      <c r="G554" s="463" t="s">
        <v>368</v>
      </c>
      <c r="H554" s="464">
        <v>0</v>
      </c>
      <c r="I554" s="464">
        <v>250000</v>
      </c>
      <c r="J554" s="464">
        <v>0</v>
      </c>
      <c r="K554" s="464">
        <v>0</v>
      </c>
      <c r="L554" s="464">
        <v>0</v>
      </c>
      <c r="M554" s="464">
        <v>0</v>
      </c>
      <c r="N554" s="464">
        <v>0</v>
      </c>
      <c r="O554" s="464">
        <v>0</v>
      </c>
      <c r="P554" s="464">
        <v>0</v>
      </c>
      <c r="Q554" s="464">
        <v>0</v>
      </c>
      <c r="R554" s="473">
        <f t="shared" si="357"/>
        <v>250000</v>
      </c>
      <c r="S554" s="437"/>
      <c r="T554" s="466" t="str">
        <f t="shared" si="358"/>
        <v>Yes-Cash-Pumping &amp; Interceptors</v>
      </c>
      <c r="U554" s="467"/>
      <c r="V554" s="467"/>
      <c r="W554" s="467"/>
      <c r="X554" s="468"/>
      <c r="Y554" s="469" t="str">
        <f t="shared" si="359"/>
        <v>Yes-Cash</v>
      </c>
      <c r="Z554" s="467"/>
      <c r="AA554" s="467"/>
      <c r="AB554" s="467"/>
      <c r="AC554" s="470"/>
    </row>
    <row r="555" spans="1:29" ht="12.75" customHeight="1" x14ac:dyDescent="0.25">
      <c r="A555" s="458" t="s">
        <v>288</v>
      </c>
      <c r="B555" s="459" t="s">
        <v>419</v>
      </c>
      <c r="C555" s="459"/>
      <c r="D555" s="472"/>
      <c r="E555" s="462" t="s">
        <v>289</v>
      </c>
      <c r="F555" s="536" t="s">
        <v>367</v>
      </c>
      <c r="G555" s="463" t="s">
        <v>368</v>
      </c>
      <c r="H555" s="464">
        <v>0</v>
      </c>
      <c r="I555" s="464">
        <v>250000</v>
      </c>
      <c r="J555" s="464">
        <v>0</v>
      </c>
      <c r="K555" s="464">
        <v>0</v>
      </c>
      <c r="L555" s="464">
        <v>0</v>
      </c>
      <c r="M555" s="464">
        <v>0</v>
      </c>
      <c r="N555" s="464">
        <v>0</v>
      </c>
      <c r="O555" s="464">
        <v>0</v>
      </c>
      <c r="P555" s="464">
        <v>0</v>
      </c>
      <c r="Q555" s="464">
        <v>0</v>
      </c>
      <c r="R555" s="473">
        <f t="shared" si="357"/>
        <v>250000</v>
      </c>
      <c r="S555" s="437"/>
      <c r="T555" s="466" t="str">
        <f t="shared" si="358"/>
        <v>Yes-Cash-Pumping &amp; Interceptors</v>
      </c>
      <c r="U555" s="467"/>
      <c r="V555" s="467"/>
      <c r="W555" s="467"/>
      <c r="X555" s="468"/>
      <c r="Y555" s="469" t="str">
        <f t="shared" si="359"/>
        <v>Yes-Cash</v>
      </c>
      <c r="Z555" s="467"/>
      <c r="AA555" s="467"/>
      <c r="AB555" s="467"/>
      <c r="AC555" s="470"/>
    </row>
    <row r="556" spans="1:29" ht="12.75" customHeight="1" x14ac:dyDescent="0.25">
      <c r="A556" s="458" t="s">
        <v>288</v>
      </c>
      <c r="B556" s="459" t="s">
        <v>420</v>
      </c>
      <c r="C556" s="459"/>
      <c r="D556" s="472"/>
      <c r="E556" s="462" t="s">
        <v>289</v>
      </c>
      <c r="F556" s="536" t="s">
        <v>367</v>
      </c>
      <c r="G556" s="463" t="s">
        <v>368</v>
      </c>
      <c r="H556" s="464">
        <v>0</v>
      </c>
      <c r="I556" s="464">
        <v>0</v>
      </c>
      <c r="J556" s="464">
        <v>150000</v>
      </c>
      <c r="K556" s="464">
        <v>0</v>
      </c>
      <c r="L556" s="464">
        <v>0</v>
      </c>
      <c r="M556" s="464">
        <v>0</v>
      </c>
      <c r="N556" s="464">
        <v>0</v>
      </c>
      <c r="O556" s="464">
        <v>0</v>
      </c>
      <c r="P556" s="464">
        <v>0</v>
      </c>
      <c r="Q556" s="464">
        <v>0</v>
      </c>
      <c r="R556" s="473">
        <f t="shared" si="357"/>
        <v>150000</v>
      </c>
      <c r="S556" s="437"/>
      <c r="T556" s="466" t="str">
        <f t="shared" si="358"/>
        <v>Yes-Cash-Pumping &amp; Interceptors</v>
      </c>
      <c r="U556" s="467"/>
      <c r="V556" s="467"/>
      <c r="W556" s="467"/>
      <c r="X556" s="468"/>
      <c r="Y556" s="469" t="str">
        <f t="shared" si="359"/>
        <v>Yes-Cash</v>
      </c>
      <c r="Z556" s="467"/>
      <c r="AA556" s="467"/>
      <c r="AB556" s="467"/>
      <c r="AC556" s="470"/>
    </row>
    <row r="557" spans="1:29" ht="12.75" customHeight="1" x14ac:dyDescent="0.25">
      <c r="A557" s="458" t="s">
        <v>288</v>
      </c>
      <c r="B557" s="459" t="s">
        <v>421</v>
      </c>
      <c r="C557" s="459"/>
      <c r="D557" s="472"/>
      <c r="E557" s="462" t="s">
        <v>289</v>
      </c>
      <c r="F557" s="536" t="s">
        <v>367</v>
      </c>
      <c r="G557" s="463" t="s">
        <v>368</v>
      </c>
      <c r="H557" s="464">
        <v>0</v>
      </c>
      <c r="I557" s="464">
        <v>0</v>
      </c>
      <c r="J557" s="464">
        <v>200000</v>
      </c>
      <c r="K557" s="464">
        <v>0</v>
      </c>
      <c r="L557" s="464">
        <v>0</v>
      </c>
      <c r="M557" s="464">
        <v>0</v>
      </c>
      <c r="N557" s="464">
        <v>0</v>
      </c>
      <c r="O557" s="464">
        <v>0</v>
      </c>
      <c r="P557" s="464">
        <v>0</v>
      </c>
      <c r="Q557" s="464">
        <v>0</v>
      </c>
      <c r="R557" s="473">
        <f t="shared" si="357"/>
        <v>200000</v>
      </c>
      <c r="S557" s="437"/>
      <c r="T557" s="466" t="str">
        <f t="shared" si="358"/>
        <v>Yes-Cash-Pumping &amp; Interceptors</v>
      </c>
      <c r="U557" s="467"/>
      <c r="V557" s="467"/>
      <c r="W557" s="467"/>
      <c r="X557" s="468"/>
      <c r="Y557" s="469" t="str">
        <f t="shared" si="359"/>
        <v>Yes-Cash</v>
      </c>
      <c r="Z557" s="467"/>
      <c r="AA557" s="467"/>
      <c r="AB557" s="467"/>
      <c r="AC557" s="470"/>
    </row>
    <row r="558" spans="1:29" ht="12.75" customHeight="1" x14ac:dyDescent="0.25">
      <c r="A558" s="458" t="s">
        <v>288</v>
      </c>
      <c r="B558" s="459" t="s">
        <v>422</v>
      </c>
      <c r="C558" s="459"/>
      <c r="D558" s="472"/>
      <c r="E558" s="462" t="s">
        <v>289</v>
      </c>
      <c r="F558" s="536" t="s">
        <v>367</v>
      </c>
      <c r="G558" s="463" t="s">
        <v>368</v>
      </c>
      <c r="H558" s="464">
        <v>0</v>
      </c>
      <c r="I558" s="464">
        <v>0</v>
      </c>
      <c r="J558" s="464">
        <v>0</v>
      </c>
      <c r="K558" s="464">
        <v>650000</v>
      </c>
      <c r="L558" s="464">
        <v>0</v>
      </c>
      <c r="M558" s="464">
        <v>0</v>
      </c>
      <c r="N558" s="464">
        <v>0</v>
      </c>
      <c r="O558" s="464">
        <v>0</v>
      </c>
      <c r="P558" s="464">
        <v>0</v>
      </c>
      <c r="Q558" s="464">
        <v>0</v>
      </c>
      <c r="R558" s="473">
        <f t="shared" si="357"/>
        <v>650000</v>
      </c>
      <c r="S558" s="437"/>
      <c r="T558" s="466" t="str">
        <f t="shared" si="358"/>
        <v>Yes-Cash-Pumping &amp; Interceptors</v>
      </c>
      <c r="U558" s="467"/>
      <c r="V558" s="467"/>
      <c r="W558" s="467"/>
      <c r="X558" s="468"/>
      <c r="Y558" s="469" t="str">
        <f t="shared" si="359"/>
        <v>Yes-Cash</v>
      </c>
      <c r="Z558" s="467"/>
      <c r="AA558" s="467"/>
      <c r="AB558" s="467"/>
      <c r="AC558" s="470"/>
    </row>
    <row r="559" spans="1:29" ht="12.75" customHeight="1" x14ac:dyDescent="0.25">
      <c r="A559" s="458" t="s">
        <v>288</v>
      </c>
      <c r="B559" s="477" t="s">
        <v>423</v>
      </c>
      <c r="C559" s="459"/>
      <c r="D559" s="472"/>
      <c r="E559" s="462" t="s">
        <v>289</v>
      </c>
      <c r="F559" s="536" t="s">
        <v>367</v>
      </c>
      <c r="G559" s="463" t="s">
        <v>368</v>
      </c>
      <c r="H559" s="464">
        <v>0</v>
      </c>
      <c r="I559" s="464">
        <v>250000</v>
      </c>
      <c r="J559" s="464">
        <v>0</v>
      </c>
      <c r="K559" s="464">
        <v>0</v>
      </c>
      <c r="L559" s="464">
        <v>0</v>
      </c>
      <c r="M559" s="464">
        <v>0</v>
      </c>
      <c r="N559" s="464">
        <v>0</v>
      </c>
      <c r="O559" s="464">
        <v>0</v>
      </c>
      <c r="P559" s="464">
        <v>0</v>
      </c>
      <c r="Q559" s="464">
        <v>0</v>
      </c>
      <c r="R559" s="473">
        <f t="shared" si="357"/>
        <v>250000</v>
      </c>
      <c r="S559" s="437"/>
      <c r="T559" s="466" t="str">
        <f t="shared" si="358"/>
        <v>Yes-Cash-Pumping &amp; Interceptors</v>
      </c>
      <c r="U559" s="467"/>
      <c r="V559" s="467"/>
      <c r="W559" s="467"/>
      <c r="X559" s="468"/>
      <c r="Y559" s="469" t="str">
        <f t="shared" si="359"/>
        <v>Yes-Cash</v>
      </c>
      <c r="Z559" s="467"/>
      <c r="AA559" s="467"/>
      <c r="AB559" s="467"/>
      <c r="AC559" s="470"/>
    </row>
    <row r="560" spans="1:29" ht="12.75" customHeight="1" x14ac:dyDescent="0.25">
      <c r="A560" s="458" t="s">
        <v>288</v>
      </c>
      <c r="B560" s="477" t="s">
        <v>424</v>
      </c>
      <c r="C560" s="459"/>
      <c r="D560" s="472"/>
      <c r="E560" s="462" t="s">
        <v>292</v>
      </c>
      <c r="F560" s="536" t="s">
        <v>367</v>
      </c>
      <c r="G560" s="463" t="s">
        <v>371</v>
      </c>
      <c r="H560" s="464">
        <v>0</v>
      </c>
      <c r="I560" s="464">
        <v>0</v>
      </c>
      <c r="J560" s="464">
        <v>950000</v>
      </c>
      <c r="K560" s="464">
        <v>0</v>
      </c>
      <c r="L560" s="464">
        <v>0</v>
      </c>
      <c r="M560" s="464">
        <v>0</v>
      </c>
      <c r="N560" s="464">
        <v>0</v>
      </c>
      <c r="O560" s="464">
        <v>0</v>
      </c>
      <c r="P560" s="464">
        <v>0</v>
      </c>
      <c r="Q560" s="464">
        <v>0</v>
      </c>
      <c r="R560" s="473">
        <f t="shared" si="357"/>
        <v>950000</v>
      </c>
      <c r="S560" s="437"/>
      <c r="T560" s="466" t="str">
        <f t="shared" si="358"/>
        <v>Yes-Debt-WW Treatment</v>
      </c>
      <c r="U560" s="467"/>
      <c r="V560" s="467"/>
      <c r="W560" s="467"/>
      <c r="X560" s="468"/>
      <c r="Y560" s="469" t="str">
        <f t="shared" si="359"/>
        <v>Yes-Debt</v>
      </c>
      <c r="Z560" s="467"/>
      <c r="AA560" s="467"/>
      <c r="AB560" s="467"/>
      <c r="AC560" s="470"/>
    </row>
    <row r="561" spans="1:29" ht="12.75" customHeight="1" x14ac:dyDescent="0.25">
      <c r="A561" s="458" t="s">
        <v>288</v>
      </c>
      <c r="B561" s="477" t="s">
        <v>394</v>
      </c>
      <c r="C561" s="459"/>
      <c r="D561" s="472"/>
      <c r="E561" s="462" t="s">
        <v>289</v>
      </c>
      <c r="F561" s="536" t="s">
        <v>367</v>
      </c>
      <c r="G561" s="463" t="s">
        <v>371</v>
      </c>
      <c r="H561" s="464">
        <v>0</v>
      </c>
      <c r="I561" s="464">
        <v>0</v>
      </c>
      <c r="J561" s="464">
        <v>500000</v>
      </c>
      <c r="K561" s="464">
        <v>0</v>
      </c>
      <c r="L561" s="464">
        <v>0</v>
      </c>
      <c r="M561" s="464">
        <v>0</v>
      </c>
      <c r="N561" s="464">
        <v>0</v>
      </c>
      <c r="O561" s="464">
        <v>0</v>
      </c>
      <c r="P561" s="464">
        <v>0</v>
      </c>
      <c r="Q561" s="464">
        <v>0</v>
      </c>
      <c r="R561" s="473">
        <f t="shared" si="357"/>
        <v>500000</v>
      </c>
      <c r="S561" s="437"/>
      <c r="T561" s="466" t="str">
        <f t="shared" si="358"/>
        <v>Yes-Debt-Pumping &amp; Interceptors</v>
      </c>
      <c r="U561" s="467"/>
      <c r="V561" s="467"/>
      <c r="W561" s="467"/>
      <c r="X561" s="468"/>
      <c r="Y561" s="469" t="str">
        <f t="shared" si="359"/>
        <v>Yes-Debt</v>
      </c>
      <c r="Z561" s="467"/>
      <c r="AA561" s="467"/>
      <c r="AB561" s="467"/>
      <c r="AC561" s="470"/>
    </row>
    <row r="562" spans="1:29" ht="12.75" customHeight="1" x14ac:dyDescent="0.25">
      <c r="A562" s="458" t="s">
        <v>288</v>
      </c>
      <c r="B562" s="477" t="s">
        <v>425</v>
      </c>
      <c r="C562" s="459"/>
      <c r="D562" s="472"/>
      <c r="E562" s="462" t="s">
        <v>225</v>
      </c>
      <c r="F562" s="536" t="s">
        <v>367</v>
      </c>
      <c r="G562" s="463" t="s">
        <v>368</v>
      </c>
      <c r="H562" s="464">
        <v>0</v>
      </c>
      <c r="I562" s="464">
        <v>450000</v>
      </c>
      <c r="J562" s="464">
        <v>0</v>
      </c>
      <c r="K562" s="464">
        <v>0</v>
      </c>
      <c r="L562" s="464">
        <v>0</v>
      </c>
      <c r="M562" s="464">
        <v>0</v>
      </c>
      <c r="N562" s="464">
        <v>0</v>
      </c>
      <c r="O562" s="464">
        <v>0</v>
      </c>
      <c r="P562" s="464">
        <v>0</v>
      </c>
      <c r="Q562" s="464">
        <v>0</v>
      </c>
      <c r="R562" s="473">
        <f t="shared" si="357"/>
        <v>450000</v>
      </c>
      <c r="S562" s="437"/>
      <c r="T562" s="466" t="str">
        <f t="shared" si="358"/>
        <v>Yes-Cash-Collection</v>
      </c>
      <c r="U562" s="467"/>
      <c r="V562" s="467"/>
      <c r="W562" s="467"/>
      <c r="X562" s="468"/>
      <c r="Y562" s="469" t="str">
        <f t="shared" si="359"/>
        <v>Yes-Cash</v>
      </c>
      <c r="Z562" s="467"/>
      <c r="AA562" s="467"/>
      <c r="AB562" s="467"/>
      <c r="AC562" s="470"/>
    </row>
    <row r="563" spans="1:29" ht="12.75" customHeight="1" x14ac:dyDescent="0.25">
      <c r="A563" s="458" t="s">
        <v>288</v>
      </c>
      <c r="B563" s="477" t="s">
        <v>426</v>
      </c>
      <c r="C563" s="459"/>
      <c r="D563" s="472"/>
      <c r="E563" s="462" t="s">
        <v>289</v>
      </c>
      <c r="F563" s="536" t="s">
        <v>367</v>
      </c>
      <c r="G563" s="463" t="s">
        <v>368</v>
      </c>
      <c r="H563" s="464"/>
      <c r="I563" s="464">
        <v>25000</v>
      </c>
      <c r="J563" s="464">
        <f t="shared" ref="J563:Q563" si="360">I563</f>
        <v>25000</v>
      </c>
      <c r="K563" s="464">
        <f t="shared" si="360"/>
        <v>25000</v>
      </c>
      <c r="L563" s="464">
        <f t="shared" si="360"/>
        <v>25000</v>
      </c>
      <c r="M563" s="464">
        <f t="shared" si="360"/>
        <v>25000</v>
      </c>
      <c r="N563" s="464">
        <f t="shared" si="360"/>
        <v>25000</v>
      </c>
      <c r="O563" s="464">
        <f t="shared" si="360"/>
        <v>25000</v>
      </c>
      <c r="P563" s="464">
        <f t="shared" si="360"/>
        <v>25000</v>
      </c>
      <c r="Q563" s="464">
        <f t="shared" si="360"/>
        <v>25000</v>
      </c>
      <c r="R563" s="473">
        <f t="shared" si="357"/>
        <v>225000</v>
      </c>
      <c r="S563" s="437"/>
      <c r="T563" s="466" t="str">
        <f t="shared" si="358"/>
        <v>Yes-Cash-Pumping &amp; Interceptors</v>
      </c>
      <c r="U563" s="467"/>
      <c r="V563" s="467"/>
      <c r="W563" s="467"/>
      <c r="X563" s="468"/>
      <c r="Y563" s="469" t="str">
        <f t="shared" si="359"/>
        <v>Yes-Cash</v>
      </c>
      <c r="Z563" s="467"/>
      <c r="AA563" s="467"/>
      <c r="AB563" s="467"/>
      <c r="AC563" s="470"/>
    </row>
    <row r="564" spans="1:29" ht="12.75" customHeight="1" x14ac:dyDescent="0.25">
      <c r="A564" s="458" t="s">
        <v>288</v>
      </c>
      <c r="B564" s="459"/>
      <c r="C564" s="459"/>
      <c r="D564" s="472"/>
      <c r="E564" s="462"/>
      <c r="F564" s="536"/>
      <c r="G564" s="463"/>
      <c r="H564" s="464"/>
      <c r="I564" s="464"/>
      <c r="J564" s="464"/>
      <c r="K564" s="464"/>
      <c r="L564" s="464"/>
      <c r="M564" s="464"/>
      <c r="N564" s="464"/>
      <c r="O564" s="464"/>
      <c r="P564" s="464"/>
      <c r="Q564" s="464"/>
      <c r="R564" s="473">
        <f t="shared" si="357"/>
        <v>0</v>
      </c>
      <c r="S564" s="437"/>
      <c r="T564" s="466" t="str">
        <f t="shared" si="358"/>
        <v>--</v>
      </c>
      <c r="U564" s="467"/>
      <c r="V564" s="467"/>
      <c r="W564" s="467"/>
      <c r="X564" s="468"/>
      <c r="Y564" s="469" t="str">
        <f t="shared" si="359"/>
        <v>-</v>
      </c>
      <c r="Z564" s="467"/>
      <c r="AA564" s="467"/>
      <c r="AB564" s="467"/>
      <c r="AC564" s="470"/>
    </row>
    <row r="565" spans="1:29" ht="12.75" customHeight="1" x14ac:dyDescent="0.25">
      <c r="A565" s="458" t="s">
        <v>288</v>
      </c>
      <c r="B565" s="459"/>
      <c r="C565" s="459"/>
      <c r="D565" s="472"/>
      <c r="E565" s="462"/>
      <c r="F565" s="536"/>
      <c r="G565" s="463"/>
      <c r="H565" s="464"/>
      <c r="I565" s="464"/>
      <c r="J565" s="464"/>
      <c r="K565" s="464"/>
      <c r="L565" s="464"/>
      <c r="M565" s="464"/>
      <c r="N565" s="464"/>
      <c r="O565" s="464"/>
      <c r="P565" s="464"/>
      <c r="Q565" s="464"/>
      <c r="R565" s="473">
        <f t="shared" si="357"/>
        <v>0</v>
      </c>
      <c r="S565" s="437"/>
      <c r="T565" s="466" t="str">
        <f t="shared" si="358"/>
        <v>--</v>
      </c>
      <c r="U565" s="467"/>
      <c r="V565" s="467"/>
      <c r="W565" s="467"/>
      <c r="X565" s="468"/>
      <c r="Y565" s="469" t="str">
        <f t="shared" si="359"/>
        <v>-</v>
      </c>
      <c r="Z565" s="467"/>
      <c r="AA565" s="467"/>
      <c r="AB565" s="467"/>
      <c r="AC565" s="470"/>
    </row>
    <row r="566" spans="1:29" ht="12.75" customHeight="1" x14ac:dyDescent="0.25">
      <c r="A566" s="458" t="s">
        <v>288</v>
      </c>
      <c r="B566" s="459"/>
      <c r="C566" s="459"/>
      <c r="D566" s="472"/>
      <c r="E566" s="462"/>
      <c r="F566" s="536"/>
      <c r="G566" s="463"/>
      <c r="H566" s="464"/>
      <c r="I566" s="464"/>
      <c r="J566" s="464"/>
      <c r="K566" s="464"/>
      <c r="L566" s="464"/>
      <c r="M566" s="464"/>
      <c r="N566" s="464"/>
      <c r="O566" s="464"/>
      <c r="P566" s="464"/>
      <c r="Q566" s="464"/>
      <c r="R566" s="473">
        <f t="shared" si="357"/>
        <v>0</v>
      </c>
      <c r="S566" s="437"/>
      <c r="T566" s="466" t="str">
        <f t="shared" si="358"/>
        <v>--</v>
      </c>
      <c r="U566" s="467"/>
      <c r="V566" s="467"/>
      <c r="W566" s="467"/>
      <c r="X566" s="468"/>
      <c r="Y566" s="469" t="str">
        <f t="shared" si="359"/>
        <v>-</v>
      </c>
      <c r="Z566" s="467"/>
      <c r="AA566" s="467"/>
      <c r="AB566" s="467"/>
      <c r="AC566" s="470"/>
    </row>
    <row r="567" spans="1:29" ht="12.75" customHeight="1" x14ac:dyDescent="0.25">
      <c r="A567" s="458" t="s">
        <v>288</v>
      </c>
      <c r="B567" s="459"/>
      <c r="C567" s="459"/>
      <c r="D567" s="472"/>
      <c r="E567" s="462"/>
      <c r="F567" s="536"/>
      <c r="G567" s="463"/>
      <c r="H567" s="464"/>
      <c r="I567" s="464"/>
      <c r="J567" s="464"/>
      <c r="K567" s="464"/>
      <c r="L567" s="464"/>
      <c r="M567" s="464"/>
      <c r="N567" s="464"/>
      <c r="O567" s="464"/>
      <c r="P567" s="464"/>
      <c r="Q567" s="464"/>
      <c r="R567" s="473">
        <f t="shared" si="357"/>
        <v>0</v>
      </c>
      <c r="S567" s="437"/>
      <c r="T567" s="466" t="str">
        <f t="shared" si="358"/>
        <v>--</v>
      </c>
      <c r="U567" s="467"/>
      <c r="V567" s="467"/>
      <c r="W567" s="467"/>
      <c r="X567" s="468"/>
      <c r="Y567" s="469" t="str">
        <f t="shared" si="359"/>
        <v>-</v>
      </c>
      <c r="Z567" s="467"/>
      <c r="AA567" s="467"/>
      <c r="AB567" s="467"/>
      <c r="AC567" s="470"/>
    </row>
    <row r="568" spans="1:29" ht="12.75" customHeight="1" x14ac:dyDescent="0.25">
      <c r="A568" s="458" t="s">
        <v>288</v>
      </c>
      <c r="B568" s="459"/>
      <c r="C568" s="459"/>
      <c r="D568" s="472"/>
      <c r="E568" s="462"/>
      <c r="F568" s="536"/>
      <c r="G568" s="478"/>
      <c r="H568" s="464"/>
      <c r="I568" s="464"/>
      <c r="J568" s="464"/>
      <c r="K568" s="464"/>
      <c r="L568" s="464"/>
      <c r="M568" s="464"/>
      <c r="N568" s="464"/>
      <c r="O568" s="464"/>
      <c r="P568" s="464"/>
      <c r="Q568" s="464"/>
      <c r="R568" s="473">
        <f t="shared" si="357"/>
        <v>0</v>
      </c>
      <c r="S568" s="437"/>
      <c r="T568" s="466" t="str">
        <f t="shared" si="358"/>
        <v>--</v>
      </c>
      <c r="U568" s="467"/>
      <c r="V568" s="467"/>
      <c r="W568" s="467"/>
      <c r="X568" s="468"/>
      <c r="Y568" s="469" t="str">
        <f t="shared" si="359"/>
        <v>-</v>
      </c>
      <c r="Z568" s="467"/>
      <c r="AA568" s="467"/>
      <c r="AB568" s="467"/>
      <c r="AC568" s="470"/>
    </row>
    <row r="569" spans="1:29" ht="12.75" customHeight="1" x14ac:dyDescent="0.25">
      <c r="A569" s="458" t="s">
        <v>288</v>
      </c>
      <c r="B569" s="459"/>
      <c r="C569" s="459"/>
      <c r="D569" s="472"/>
      <c r="E569" s="462"/>
      <c r="F569" s="536"/>
      <c r="G569" s="478"/>
      <c r="H569" s="464"/>
      <c r="I569" s="464"/>
      <c r="J569" s="464"/>
      <c r="K569" s="464"/>
      <c r="L569" s="464"/>
      <c r="M569" s="464"/>
      <c r="N569" s="464"/>
      <c r="O569" s="464"/>
      <c r="P569" s="464"/>
      <c r="Q569" s="464"/>
      <c r="R569" s="473">
        <f t="shared" si="357"/>
        <v>0</v>
      </c>
      <c r="S569" s="437"/>
      <c r="T569" s="466" t="str">
        <f t="shared" si="358"/>
        <v>--</v>
      </c>
      <c r="U569" s="467"/>
      <c r="V569" s="467"/>
      <c r="W569" s="467"/>
      <c r="X569" s="468"/>
      <c r="Y569" s="469" t="str">
        <f t="shared" si="359"/>
        <v>-</v>
      </c>
      <c r="Z569" s="467"/>
      <c r="AA569" s="467"/>
      <c r="AB569" s="467"/>
      <c r="AC569" s="470"/>
    </row>
    <row r="570" spans="1:29" ht="12.75" customHeight="1" x14ac:dyDescent="0.25">
      <c r="A570" s="458" t="s">
        <v>288</v>
      </c>
      <c r="B570" s="459"/>
      <c r="C570" s="459"/>
      <c r="D570" s="472"/>
      <c r="E570" s="462"/>
      <c r="F570" s="536"/>
      <c r="G570" s="478"/>
      <c r="H570" s="464"/>
      <c r="I570" s="464"/>
      <c r="J570" s="464"/>
      <c r="K570" s="464"/>
      <c r="L570" s="464"/>
      <c r="M570" s="464"/>
      <c r="N570" s="464"/>
      <c r="O570" s="464"/>
      <c r="P570" s="464"/>
      <c r="Q570" s="464"/>
      <c r="R570" s="473">
        <f t="shared" si="357"/>
        <v>0</v>
      </c>
      <c r="S570" s="437"/>
      <c r="T570" s="466" t="str">
        <f t="shared" si="358"/>
        <v>--</v>
      </c>
      <c r="U570" s="467"/>
      <c r="V570" s="467"/>
      <c r="W570" s="467"/>
      <c r="X570" s="468"/>
      <c r="Y570" s="469" t="str">
        <f t="shared" si="359"/>
        <v>-</v>
      </c>
      <c r="Z570" s="467"/>
      <c r="AA570" s="467"/>
      <c r="AB570" s="467"/>
      <c r="AC570" s="470"/>
    </row>
    <row r="571" spans="1:29" ht="12.75" customHeight="1" x14ac:dyDescent="0.25">
      <c r="A571" s="458" t="s">
        <v>288</v>
      </c>
      <c r="B571" s="459"/>
      <c r="C571" s="459"/>
      <c r="D571" s="472"/>
      <c r="E571" s="462"/>
      <c r="F571" s="536"/>
      <c r="G571" s="478"/>
      <c r="H571" s="464"/>
      <c r="I571" s="464"/>
      <c r="J571" s="464"/>
      <c r="K571" s="464"/>
      <c r="L571" s="464"/>
      <c r="M571" s="464"/>
      <c r="N571" s="464"/>
      <c r="O571" s="464"/>
      <c r="P571" s="464"/>
      <c r="Q571" s="464"/>
      <c r="R571" s="473">
        <f t="shared" si="357"/>
        <v>0</v>
      </c>
      <c r="S571" s="437"/>
      <c r="T571" s="466" t="str">
        <f t="shared" si="358"/>
        <v>--</v>
      </c>
      <c r="U571" s="467"/>
      <c r="V571" s="467"/>
      <c r="W571" s="467"/>
      <c r="X571" s="468"/>
      <c r="Y571" s="469" t="str">
        <f t="shared" si="359"/>
        <v>-</v>
      </c>
      <c r="Z571" s="467"/>
      <c r="AA571" s="467"/>
      <c r="AB571" s="467"/>
      <c r="AC571" s="470"/>
    </row>
    <row r="572" spans="1:29" ht="12.75" customHeight="1" x14ac:dyDescent="0.25">
      <c r="A572" s="458" t="s">
        <v>288</v>
      </c>
      <c r="B572" s="459"/>
      <c r="C572" s="459"/>
      <c r="D572" s="472"/>
      <c r="E572" s="462"/>
      <c r="F572" s="536"/>
      <c r="G572" s="478"/>
      <c r="H572" s="464"/>
      <c r="I572" s="464"/>
      <c r="J572" s="464"/>
      <c r="K572" s="464"/>
      <c r="L572" s="464"/>
      <c r="M572" s="464"/>
      <c r="N572" s="464"/>
      <c r="O572" s="464"/>
      <c r="P572" s="464"/>
      <c r="Q572" s="464"/>
      <c r="R572" s="473">
        <f t="shared" si="357"/>
        <v>0</v>
      </c>
      <c r="S572" s="437"/>
      <c r="T572" s="466" t="str">
        <f t="shared" si="358"/>
        <v>--</v>
      </c>
      <c r="U572" s="467"/>
      <c r="V572" s="467"/>
      <c r="W572" s="467"/>
      <c r="X572" s="468"/>
      <c r="Y572" s="469" t="str">
        <f t="shared" si="359"/>
        <v>-</v>
      </c>
      <c r="Z572" s="467"/>
      <c r="AA572" s="467"/>
      <c r="AB572" s="467"/>
      <c r="AC572" s="470"/>
    </row>
    <row r="573" spans="1:29" ht="12.75" customHeight="1" x14ac:dyDescent="0.25">
      <c r="A573" s="458" t="s">
        <v>288</v>
      </c>
      <c r="B573" s="459"/>
      <c r="C573" s="459"/>
      <c r="D573" s="472"/>
      <c r="E573" s="462"/>
      <c r="F573" s="536"/>
      <c r="G573" s="478"/>
      <c r="H573" s="464"/>
      <c r="I573" s="464"/>
      <c r="J573" s="464"/>
      <c r="K573" s="464"/>
      <c r="L573" s="464"/>
      <c r="M573" s="464"/>
      <c r="N573" s="464"/>
      <c r="O573" s="464"/>
      <c r="P573" s="464"/>
      <c r="Q573" s="464"/>
      <c r="R573" s="473">
        <f t="shared" si="357"/>
        <v>0</v>
      </c>
      <c r="S573" s="437"/>
      <c r="T573" s="466" t="str">
        <f t="shared" si="358"/>
        <v>--</v>
      </c>
      <c r="U573" s="467"/>
      <c r="V573" s="467"/>
      <c r="W573" s="467"/>
      <c r="X573" s="468"/>
      <c r="Y573" s="469" t="str">
        <f t="shared" si="359"/>
        <v>-</v>
      </c>
      <c r="Z573" s="467"/>
      <c r="AA573" s="467"/>
      <c r="AB573" s="467"/>
      <c r="AC573" s="470"/>
    </row>
    <row r="574" spans="1:29" ht="12.75" customHeight="1" x14ac:dyDescent="0.25">
      <c r="A574" s="458" t="s">
        <v>288</v>
      </c>
      <c r="B574" s="459"/>
      <c r="C574" s="459"/>
      <c r="D574" s="472"/>
      <c r="E574" s="462"/>
      <c r="F574" s="536"/>
      <c r="G574" s="478"/>
      <c r="H574" s="464"/>
      <c r="I574" s="464"/>
      <c r="J574" s="464"/>
      <c r="K574" s="464"/>
      <c r="L574" s="464"/>
      <c r="M574" s="464"/>
      <c r="N574" s="464"/>
      <c r="O574" s="464"/>
      <c r="P574" s="464"/>
      <c r="Q574" s="464"/>
      <c r="R574" s="473">
        <f t="shared" si="357"/>
        <v>0</v>
      </c>
      <c r="S574" s="437"/>
      <c r="T574" s="466" t="str">
        <f t="shared" si="358"/>
        <v>--</v>
      </c>
      <c r="U574" s="467"/>
      <c r="V574" s="467"/>
      <c r="W574" s="467"/>
      <c r="X574" s="468"/>
      <c r="Y574" s="469" t="str">
        <f t="shared" si="359"/>
        <v>-</v>
      </c>
      <c r="Z574" s="467"/>
      <c r="AA574" s="467"/>
      <c r="AB574" s="467"/>
      <c r="AC574" s="470"/>
    </row>
    <row r="575" spans="1:29" ht="12.75" customHeight="1" x14ac:dyDescent="0.25">
      <c r="A575" s="458" t="s">
        <v>288</v>
      </c>
      <c r="B575" s="459"/>
      <c r="C575" s="459"/>
      <c r="D575" s="472"/>
      <c r="E575" s="462"/>
      <c r="F575" s="536"/>
      <c r="G575" s="478"/>
      <c r="H575" s="464"/>
      <c r="I575" s="464"/>
      <c r="J575" s="464"/>
      <c r="K575" s="464"/>
      <c r="L575" s="464"/>
      <c r="M575" s="464"/>
      <c r="N575" s="464"/>
      <c r="O575" s="464"/>
      <c r="P575" s="464"/>
      <c r="Q575" s="464"/>
      <c r="R575" s="473">
        <f t="shared" si="357"/>
        <v>0</v>
      </c>
      <c r="S575" s="437"/>
      <c r="T575" s="466" t="str">
        <f t="shared" si="358"/>
        <v>--</v>
      </c>
      <c r="U575" s="467"/>
      <c r="V575" s="467"/>
      <c r="W575" s="467"/>
      <c r="X575" s="468"/>
      <c r="Y575" s="469" t="str">
        <f t="shared" si="359"/>
        <v>-</v>
      </c>
      <c r="Z575" s="467"/>
      <c r="AA575" s="467"/>
      <c r="AB575" s="467"/>
      <c r="AC575" s="470"/>
    </row>
    <row r="576" spans="1:29" ht="12.75" customHeight="1" x14ac:dyDescent="0.25">
      <c r="A576" s="458" t="s">
        <v>288</v>
      </c>
      <c r="B576" s="459"/>
      <c r="C576" s="459"/>
      <c r="D576" s="472"/>
      <c r="E576" s="462"/>
      <c r="F576" s="536"/>
      <c r="G576" s="478"/>
      <c r="H576" s="464"/>
      <c r="I576" s="464"/>
      <c r="J576" s="464"/>
      <c r="K576" s="464"/>
      <c r="L576" s="464"/>
      <c r="M576" s="464"/>
      <c r="N576" s="464"/>
      <c r="O576" s="464"/>
      <c r="P576" s="464"/>
      <c r="Q576" s="464"/>
      <c r="R576" s="473">
        <f t="shared" si="357"/>
        <v>0</v>
      </c>
      <c r="S576" s="437"/>
      <c r="T576" s="466" t="str">
        <f t="shared" si="358"/>
        <v>--</v>
      </c>
      <c r="U576" s="467"/>
      <c r="V576" s="467"/>
      <c r="W576" s="467"/>
      <c r="X576" s="468"/>
      <c r="Y576" s="469" t="str">
        <f t="shared" si="359"/>
        <v>-</v>
      </c>
      <c r="Z576" s="467"/>
      <c r="AA576" s="467"/>
      <c r="AB576" s="467"/>
      <c r="AC576" s="470"/>
    </row>
    <row r="577" spans="1:29" ht="12.75" customHeight="1" x14ac:dyDescent="0.25">
      <c r="A577" s="458" t="s">
        <v>288</v>
      </c>
      <c r="B577" s="459"/>
      <c r="C577" s="459"/>
      <c r="D577" s="472"/>
      <c r="E577" s="462"/>
      <c r="F577" s="536"/>
      <c r="G577" s="478"/>
      <c r="H577" s="464"/>
      <c r="I577" s="464"/>
      <c r="J577" s="464"/>
      <c r="K577" s="464"/>
      <c r="L577" s="464"/>
      <c r="M577" s="464"/>
      <c r="N577" s="464"/>
      <c r="O577" s="464"/>
      <c r="P577" s="464"/>
      <c r="Q577" s="464"/>
      <c r="R577" s="473">
        <f t="shared" si="357"/>
        <v>0</v>
      </c>
      <c r="S577" s="437"/>
      <c r="T577" s="466" t="str">
        <f t="shared" si="358"/>
        <v>--</v>
      </c>
      <c r="U577" s="467"/>
      <c r="V577" s="467"/>
      <c r="W577" s="467"/>
      <c r="X577" s="468"/>
      <c r="Y577" s="469" t="str">
        <f t="shared" si="359"/>
        <v>-</v>
      </c>
      <c r="Z577" s="467"/>
      <c r="AA577" s="467"/>
      <c r="AB577" s="467"/>
      <c r="AC577" s="470"/>
    </row>
    <row r="578" spans="1:29" ht="12.75" customHeight="1" x14ac:dyDescent="0.25">
      <c r="A578" s="458" t="s">
        <v>288</v>
      </c>
      <c r="B578" s="459"/>
      <c r="C578" s="459"/>
      <c r="D578" s="472"/>
      <c r="E578" s="462"/>
      <c r="F578" s="478"/>
      <c r="G578" s="478"/>
      <c r="H578" s="464"/>
      <c r="I578" s="464"/>
      <c r="J578" s="464"/>
      <c r="K578" s="464"/>
      <c r="L578" s="464"/>
      <c r="M578" s="464"/>
      <c r="N578" s="464"/>
      <c r="O578" s="464"/>
      <c r="P578" s="464"/>
      <c r="Q578" s="464"/>
      <c r="R578" s="473">
        <f t="shared" si="357"/>
        <v>0</v>
      </c>
      <c r="S578" s="437"/>
      <c r="T578" s="466" t="str">
        <f t="shared" si="358"/>
        <v>--</v>
      </c>
      <c r="U578" s="467"/>
      <c r="V578" s="467"/>
      <c r="W578" s="467"/>
      <c r="X578" s="468"/>
      <c r="Y578" s="469" t="str">
        <f t="shared" si="359"/>
        <v>-</v>
      </c>
      <c r="Z578" s="467"/>
      <c r="AA578" s="467"/>
      <c r="AB578" s="467"/>
      <c r="AC578" s="470"/>
    </row>
    <row r="579" spans="1:29" ht="12.75" customHeight="1" x14ac:dyDescent="0.25">
      <c r="A579" s="458" t="s">
        <v>288</v>
      </c>
      <c r="B579" s="459"/>
      <c r="C579" s="459"/>
      <c r="D579" s="472"/>
      <c r="E579" s="462"/>
      <c r="F579" s="478"/>
      <c r="G579" s="478"/>
      <c r="H579" s="464"/>
      <c r="I579" s="464"/>
      <c r="J579" s="464"/>
      <c r="K579" s="464"/>
      <c r="L579" s="464"/>
      <c r="M579" s="464"/>
      <c r="N579" s="464"/>
      <c r="O579" s="464"/>
      <c r="P579" s="464"/>
      <c r="Q579" s="464"/>
      <c r="R579" s="473">
        <f t="shared" si="357"/>
        <v>0</v>
      </c>
      <c r="S579" s="437"/>
      <c r="T579" s="466" t="str">
        <f t="shared" si="358"/>
        <v>--</v>
      </c>
      <c r="U579" s="467"/>
      <c r="V579" s="467"/>
      <c r="W579" s="467"/>
      <c r="X579" s="468"/>
      <c r="Y579" s="469" t="str">
        <f t="shared" si="359"/>
        <v>-</v>
      </c>
      <c r="Z579" s="467"/>
      <c r="AA579" s="467"/>
      <c r="AB579" s="467"/>
      <c r="AC579" s="470"/>
    </row>
    <row r="580" spans="1:29" ht="12.75" customHeight="1" x14ac:dyDescent="0.25">
      <c r="A580" s="458" t="s">
        <v>288</v>
      </c>
      <c r="B580" s="459"/>
      <c r="C580" s="459"/>
      <c r="D580" s="472"/>
      <c r="E580" s="462"/>
      <c r="F580" s="478"/>
      <c r="G580" s="478"/>
      <c r="H580" s="464"/>
      <c r="I580" s="464"/>
      <c r="J580" s="464"/>
      <c r="K580" s="464"/>
      <c r="L580" s="464"/>
      <c r="M580" s="464"/>
      <c r="N580" s="464"/>
      <c r="O580" s="464"/>
      <c r="P580" s="464"/>
      <c r="Q580" s="464"/>
      <c r="R580" s="473">
        <f t="shared" si="357"/>
        <v>0</v>
      </c>
      <c r="S580" s="437"/>
      <c r="T580" s="466" t="str">
        <f t="shared" si="358"/>
        <v>--</v>
      </c>
      <c r="U580" s="467"/>
      <c r="V580" s="467"/>
      <c r="W580" s="467"/>
      <c r="X580" s="468"/>
      <c r="Y580" s="469" t="str">
        <f t="shared" si="359"/>
        <v>-</v>
      </c>
      <c r="Z580" s="467"/>
      <c r="AA580" s="467"/>
      <c r="AB580" s="467"/>
      <c r="AC580" s="470"/>
    </row>
    <row r="581" spans="1:29" ht="12.75" customHeight="1" x14ac:dyDescent="0.25">
      <c r="A581" s="458" t="s">
        <v>288</v>
      </c>
      <c r="B581" s="459"/>
      <c r="C581" s="459"/>
      <c r="D581" s="472"/>
      <c r="E581" s="462"/>
      <c r="F581" s="478"/>
      <c r="G581" s="478"/>
      <c r="H581" s="474">
        <f>SUM(H549:H577)</f>
        <v>650000</v>
      </c>
      <c r="I581" s="474">
        <f>SUM(I549:I579)</f>
        <v>1425000</v>
      </c>
      <c r="J581" s="474">
        <f>SUM(J549:J577)</f>
        <v>1825000</v>
      </c>
      <c r="K581" s="474">
        <f t="shared" ref="K581:P581" si="361">SUM(K549:K577)</f>
        <v>675000</v>
      </c>
      <c r="L581" s="474">
        <f t="shared" si="361"/>
        <v>25000</v>
      </c>
      <c r="M581" s="474">
        <f t="shared" si="361"/>
        <v>25000</v>
      </c>
      <c r="N581" s="474">
        <f t="shared" si="361"/>
        <v>25000</v>
      </c>
      <c r="O581" s="474">
        <f t="shared" si="361"/>
        <v>25000</v>
      </c>
      <c r="P581" s="474">
        <f t="shared" si="361"/>
        <v>25000</v>
      </c>
      <c r="Q581" s="474">
        <f>SUM(Q549:Q577)</f>
        <v>25000</v>
      </c>
      <c r="R581" s="475">
        <f t="shared" ref="R581:R598" si="362">SUM(H581:Q581)</f>
        <v>4725000</v>
      </c>
      <c r="S581" s="437"/>
      <c r="T581" s="466" t="str">
        <f t="shared" si="358"/>
        <v>--</v>
      </c>
      <c r="U581" s="467"/>
      <c r="V581" s="467"/>
      <c r="W581" s="467"/>
      <c r="X581" s="468"/>
      <c r="Y581" s="469" t="str">
        <f t="shared" si="359"/>
        <v>-</v>
      </c>
      <c r="Z581" s="467"/>
      <c r="AA581" s="467"/>
      <c r="AB581" s="467"/>
      <c r="AC581" s="470"/>
    </row>
    <row r="582" spans="1:29" ht="12.75" customHeight="1" x14ac:dyDescent="0.25">
      <c r="A582" s="458" t="s">
        <v>288</v>
      </c>
      <c r="B582" s="459"/>
      <c r="C582" s="459"/>
      <c r="D582" s="472"/>
      <c r="E582" s="462"/>
      <c r="F582" s="478"/>
      <c r="G582" s="478"/>
      <c r="H582" s="464"/>
      <c r="I582" s="464"/>
      <c r="J582" s="464"/>
      <c r="K582" s="464"/>
      <c r="L582" s="464"/>
      <c r="M582" s="464"/>
      <c r="N582" s="464"/>
      <c r="O582" s="464"/>
      <c r="P582" s="464"/>
      <c r="Q582" s="464"/>
      <c r="R582" s="473">
        <f t="shared" si="362"/>
        <v>0</v>
      </c>
      <c r="S582" s="437"/>
      <c r="T582" s="466" t="str">
        <f t="shared" si="358"/>
        <v>--</v>
      </c>
      <c r="U582" s="467"/>
      <c r="V582" s="467"/>
      <c r="W582" s="467"/>
      <c r="X582" s="468"/>
      <c r="Y582" s="469" t="str">
        <f t="shared" si="359"/>
        <v>-</v>
      </c>
      <c r="Z582" s="467"/>
      <c r="AA582" s="467"/>
      <c r="AB582" s="467"/>
      <c r="AC582" s="470"/>
    </row>
    <row r="583" spans="1:29" ht="12.75" customHeight="1" x14ac:dyDescent="0.25">
      <c r="A583" s="458" t="s">
        <v>288</v>
      </c>
      <c r="B583" s="459"/>
      <c r="C583" s="459"/>
      <c r="D583" s="472"/>
      <c r="E583" s="462"/>
      <c r="F583" s="478"/>
      <c r="G583" s="478"/>
      <c r="H583" s="464"/>
      <c r="I583" s="464"/>
      <c r="J583" s="464"/>
      <c r="K583" s="464"/>
      <c r="L583" s="464"/>
      <c r="M583" s="464"/>
      <c r="N583" s="464"/>
      <c r="O583" s="464"/>
      <c r="P583" s="464"/>
      <c r="Q583" s="464"/>
      <c r="R583" s="473">
        <f t="shared" si="362"/>
        <v>0</v>
      </c>
      <c r="S583" s="437"/>
      <c r="T583" s="466" t="str">
        <f t="shared" si="358"/>
        <v>--</v>
      </c>
      <c r="U583" s="467"/>
      <c r="V583" s="467"/>
      <c r="W583" s="467"/>
      <c r="X583" s="468"/>
      <c r="Y583" s="469" t="str">
        <f t="shared" si="359"/>
        <v>-</v>
      </c>
      <c r="Z583" s="467"/>
      <c r="AA583" s="467"/>
      <c r="AB583" s="467"/>
      <c r="AC583" s="470"/>
    </row>
    <row r="584" spans="1:29" ht="12.75" customHeight="1" x14ac:dyDescent="0.25">
      <c r="A584" s="458" t="s">
        <v>288</v>
      </c>
      <c r="B584" s="459"/>
      <c r="C584" s="459"/>
      <c r="D584" s="472"/>
      <c r="E584" s="462"/>
      <c r="F584" s="478"/>
      <c r="G584" s="478"/>
      <c r="H584" s="464"/>
      <c r="I584" s="464"/>
      <c r="J584" s="464"/>
      <c r="K584" s="464"/>
      <c r="L584" s="464"/>
      <c r="M584" s="464"/>
      <c r="N584" s="464"/>
      <c r="O584" s="464"/>
      <c r="P584" s="464"/>
      <c r="Q584" s="464"/>
      <c r="R584" s="473">
        <f t="shared" si="362"/>
        <v>0</v>
      </c>
      <c r="S584" s="437"/>
      <c r="T584" s="466" t="str">
        <f t="shared" si="358"/>
        <v>--</v>
      </c>
      <c r="U584" s="467"/>
      <c r="V584" s="467"/>
      <c r="W584" s="467"/>
      <c r="X584" s="468"/>
      <c r="Y584" s="469" t="str">
        <f t="shared" si="359"/>
        <v>-</v>
      </c>
      <c r="Z584" s="467"/>
      <c r="AA584" s="467"/>
      <c r="AB584" s="467"/>
      <c r="AC584" s="470"/>
    </row>
    <row r="585" spans="1:29" ht="12.75" customHeight="1" x14ac:dyDescent="0.25">
      <c r="A585" s="458" t="s">
        <v>288</v>
      </c>
      <c r="B585" s="459"/>
      <c r="C585" s="459"/>
      <c r="D585" s="472"/>
      <c r="E585" s="462"/>
      <c r="F585" s="478"/>
      <c r="G585" s="478"/>
      <c r="H585" s="464"/>
      <c r="I585" s="464"/>
      <c r="J585" s="464"/>
      <c r="K585" s="464"/>
      <c r="L585" s="464"/>
      <c r="M585" s="464"/>
      <c r="N585" s="464"/>
      <c r="O585" s="464"/>
      <c r="P585" s="464"/>
      <c r="Q585" s="464"/>
      <c r="R585" s="473">
        <f t="shared" si="362"/>
        <v>0</v>
      </c>
      <c r="S585" s="437"/>
      <c r="T585" s="466" t="str">
        <f t="shared" si="358"/>
        <v>--</v>
      </c>
      <c r="U585" s="467"/>
      <c r="V585" s="467"/>
      <c r="W585" s="467"/>
      <c r="X585" s="468"/>
      <c r="Y585" s="469" t="str">
        <f t="shared" si="359"/>
        <v>-</v>
      </c>
      <c r="Z585" s="467"/>
      <c r="AA585" s="467"/>
      <c r="AB585" s="467"/>
      <c r="AC585" s="470"/>
    </row>
    <row r="586" spans="1:29" ht="12.75" customHeight="1" x14ac:dyDescent="0.25">
      <c r="A586" s="458" t="s">
        <v>288</v>
      </c>
      <c r="B586" s="459"/>
      <c r="C586" s="459"/>
      <c r="D586" s="472"/>
      <c r="E586" s="462"/>
      <c r="F586" s="478"/>
      <c r="G586" s="478"/>
      <c r="H586" s="464"/>
      <c r="I586" s="464"/>
      <c r="J586" s="464"/>
      <c r="K586" s="464"/>
      <c r="L586" s="464"/>
      <c r="M586" s="464"/>
      <c r="N586" s="464"/>
      <c r="O586" s="464"/>
      <c r="P586" s="464"/>
      <c r="Q586" s="464"/>
      <c r="R586" s="473">
        <f t="shared" si="362"/>
        <v>0</v>
      </c>
      <c r="S586" s="437"/>
      <c r="T586" s="466" t="str">
        <f t="shared" si="358"/>
        <v>--</v>
      </c>
      <c r="U586" s="467"/>
      <c r="V586" s="467"/>
      <c r="W586" s="467"/>
      <c r="X586" s="468"/>
      <c r="Y586" s="469" t="str">
        <f t="shared" si="359"/>
        <v>-</v>
      </c>
      <c r="Z586" s="467"/>
      <c r="AA586" s="467"/>
      <c r="AB586" s="467"/>
      <c r="AC586" s="470"/>
    </row>
    <row r="587" spans="1:29" ht="12.75" customHeight="1" x14ac:dyDescent="0.25">
      <c r="A587" s="458" t="s">
        <v>288</v>
      </c>
      <c r="B587" s="459"/>
      <c r="C587" s="459"/>
      <c r="D587" s="472"/>
      <c r="E587" s="462"/>
      <c r="F587" s="478"/>
      <c r="G587" s="478"/>
      <c r="H587" s="464"/>
      <c r="I587" s="464"/>
      <c r="J587" s="464"/>
      <c r="K587" s="464"/>
      <c r="L587" s="464"/>
      <c r="M587" s="464"/>
      <c r="N587" s="464"/>
      <c r="O587" s="464"/>
      <c r="P587" s="464"/>
      <c r="Q587" s="464"/>
      <c r="R587" s="473">
        <f t="shared" si="362"/>
        <v>0</v>
      </c>
      <c r="S587" s="437"/>
      <c r="T587" s="466" t="str">
        <f t="shared" si="358"/>
        <v>--</v>
      </c>
      <c r="U587" s="467"/>
      <c r="V587" s="467"/>
      <c r="W587" s="467"/>
      <c r="X587" s="468"/>
      <c r="Y587" s="469" t="str">
        <f t="shared" si="359"/>
        <v>-</v>
      </c>
      <c r="Z587" s="467"/>
      <c r="AA587" s="467"/>
      <c r="AB587" s="467"/>
      <c r="AC587" s="470"/>
    </row>
    <row r="588" spans="1:29" ht="12.75" customHeight="1" x14ac:dyDescent="0.25">
      <c r="A588" s="458" t="s">
        <v>288</v>
      </c>
      <c r="B588" s="459"/>
      <c r="C588" s="459"/>
      <c r="D588" s="472"/>
      <c r="E588" s="462"/>
      <c r="F588" s="478"/>
      <c r="G588" s="478"/>
      <c r="H588" s="464"/>
      <c r="I588" s="464"/>
      <c r="J588" s="464"/>
      <c r="K588" s="464"/>
      <c r="L588" s="464"/>
      <c r="M588" s="464"/>
      <c r="N588" s="464"/>
      <c r="O588" s="464"/>
      <c r="P588" s="464"/>
      <c r="Q588" s="464"/>
      <c r="R588" s="473">
        <f t="shared" si="362"/>
        <v>0</v>
      </c>
      <c r="S588" s="437"/>
      <c r="T588" s="466" t="str">
        <f t="shared" si="358"/>
        <v>--</v>
      </c>
      <c r="U588" s="467"/>
      <c r="V588" s="467"/>
      <c r="W588" s="467"/>
      <c r="X588" s="468"/>
      <c r="Y588" s="469" t="str">
        <f t="shared" si="359"/>
        <v>-</v>
      </c>
      <c r="Z588" s="467"/>
      <c r="AA588" s="467"/>
      <c r="AB588" s="467"/>
      <c r="AC588" s="470"/>
    </row>
    <row r="589" spans="1:29" ht="12.75" customHeight="1" x14ac:dyDescent="0.25">
      <c r="A589" s="458" t="s">
        <v>288</v>
      </c>
      <c r="B589" s="459"/>
      <c r="C589" s="459"/>
      <c r="D589" s="472"/>
      <c r="E589" s="462"/>
      <c r="F589" s="478"/>
      <c r="G589" s="478"/>
      <c r="H589" s="464"/>
      <c r="I589" s="464"/>
      <c r="J589" s="464"/>
      <c r="K589" s="464"/>
      <c r="L589" s="464"/>
      <c r="M589" s="464"/>
      <c r="N589" s="464"/>
      <c r="O589" s="464"/>
      <c r="P589" s="464"/>
      <c r="Q589" s="464"/>
      <c r="R589" s="473">
        <f t="shared" si="362"/>
        <v>0</v>
      </c>
      <c r="S589" s="437"/>
      <c r="T589" s="466" t="str">
        <f t="shared" si="358"/>
        <v>--</v>
      </c>
      <c r="U589" s="467"/>
      <c r="V589" s="467"/>
      <c r="W589" s="467"/>
      <c r="X589" s="468"/>
      <c r="Y589" s="469" t="str">
        <f t="shared" si="359"/>
        <v>-</v>
      </c>
      <c r="Z589" s="467"/>
      <c r="AA589" s="467"/>
      <c r="AB589" s="467"/>
      <c r="AC589" s="470"/>
    </row>
    <row r="590" spans="1:29" ht="12.75" customHeight="1" x14ac:dyDescent="0.25">
      <c r="A590" s="458" t="s">
        <v>288</v>
      </c>
      <c r="B590" s="459"/>
      <c r="C590" s="459"/>
      <c r="D590" s="472"/>
      <c r="E590" s="462"/>
      <c r="F590" s="478"/>
      <c r="G590" s="478"/>
      <c r="H590" s="464"/>
      <c r="I590" s="464"/>
      <c r="J590" s="464"/>
      <c r="K590" s="464"/>
      <c r="L590" s="464"/>
      <c r="M590" s="464"/>
      <c r="N590" s="464"/>
      <c r="O590" s="464"/>
      <c r="P590" s="464"/>
      <c r="Q590" s="464"/>
      <c r="R590" s="473">
        <f t="shared" si="362"/>
        <v>0</v>
      </c>
      <c r="S590" s="437"/>
      <c r="T590" s="466" t="str">
        <f t="shared" si="358"/>
        <v>--</v>
      </c>
      <c r="U590" s="467"/>
      <c r="V590" s="467"/>
      <c r="W590" s="467"/>
      <c r="X590" s="468"/>
      <c r="Y590" s="469" t="str">
        <f t="shared" si="359"/>
        <v>-</v>
      </c>
      <c r="Z590" s="467"/>
      <c r="AA590" s="467"/>
      <c r="AB590" s="467"/>
      <c r="AC590" s="470"/>
    </row>
    <row r="591" spans="1:29" ht="12.75" customHeight="1" x14ac:dyDescent="0.25">
      <c r="A591" s="458" t="s">
        <v>288</v>
      </c>
      <c r="B591" s="459"/>
      <c r="C591" s="459"/>
      <c r="D591" s="472"/>
      <c r="E591" s="462"/>
      <c r="F591" s="478"/>
      <c r="G591" s="478"/>
      <c r="H591" s="464"/>
      <c r="I591" s="464"/>
      <c r="J591" s="464"/>
      <c r="K591" s="464"/>
      <c r="L591" s="464"/>
      <c r="M591" s="464"/>
      <c r="N591" s="464"/>
      <c r="O591" s="464"/>
      <c r="P591" s="464"/>
      <c r="Q591" s="464"/>
      <c r="R591" s="473">
        <f t="shared" si="362"/>
        <v>0</v>
      </c>
      <c r="S591" s="437"/>
      <c r="T591" s="466" t="str">
        <f t="shared" si="358"/>
        <v>--</v>
      </c>
      <c r="U591" s="467"/>
      <c r="V591" s="467"/>
      <c r="W591" s="467"/>
      <c r="X591" s="468"/>
      <c r="Y591" s="469" t="str">
        <f t="shared" si="359"/>
        <v>-</v>
      </c>
      <c r="Z591" s="467"/>
      <c r="AA591" s="467"/>
      <c r="AB591" s="467"/>
      <c r="AC591" s="470"/>
    </row>
    <row r="592" spans="1:29" ht="12.75" customHeight="1" x14ac:dyDescent="0.25">
      <c r="A592" s="458" t="s">
        <v>288</v>
      </c>
      <c r="B592" s="459"/>
      <c r="C592" s="459"/>
      <c r="D592" s="472"/>
      <c r="E592" s="462"/>
      <c r="F592" s="478"/>
      <c r="G592" s="478"/>
      <c r="H592" s="464"/>
      <c r="I592" s="464"/>
      <c r="J592" s="464"/>
      <c r="K592" s="464"/>
      <c r="L592" s="464"/>
      <c r="M592" s="464"/>
      <c r="N592" s="464"/>
      <c r="O592" s="464"/>
      <c r="P592" s="464"/>
      <c r="Q592" s="464"/>
      <c r="R592" s="473">
        <f t="shared" si="362"/>
        <v>0</v>
      </c>
      <c r="S592" s="437"/>
      <c r="T592" s="466" t="str">
        <f t="shared" si="358"/>
        <v>--</v>
      </c>
      <c r="U592" s="467"/>
      <c r="V592" s="467"/>
      <c r="W592" s="467"/>
      <c r="X592" s="468"/>
      <c r="Y592" s="469" t="str">
        <f t="shared" si="359"/>
        <v>-</v>
      </c>
      <c r="Z592" s="467"/>
      <c r="AA592" s="467"/>
      <c r="AB592" s="467"/>
      <c r="AC592" s="470"/>
    </row>
    <row r="593" spans="1:29" ht="12.75" customHeight="1" x14ac:dyDescent="0.25">
      <c r="A593" s="458" t="s">
        <v>288</v>
      </c>
      <c r="B593" s="459"/>
      <c r="C593" s="459"/>
      <c r="D593" s="472"/>
      <c r="E593" s="462"/>
      <c r="F593" s="478"/>
      <c r="G593" s="478"/>
      <c r="H593" s="464"/>
      <c r="I593" s="464"/>
      <c r="J593" s="464"/>
      <c r="K593" s="464"/>
      <c r="L593" s="464"/>
      <c r="M593" s="464"/>
      <c r="N593" s="464"/>
      <c r="O593" s="464"/>
      <c r="P593" s="464"/>
      <c r="Q593" s="464"/>
      <c r="R593" s="473">
        <f t="shared" si="362"/>
        <v>0</v>
      </c>
      <c r="S593" s="437"/>
      <c r="T593" s="466" t="str">
        <f t="shared" si="358"/>
        <v>--</v>
      </c>
      <c r="U593" s="467"/>
      <c r="V593" s="467"/>
      <c r="W593" s="467"/>
      <c r="X593" s="468"/>
      <c r="Y593" s="469" t="str">
        <f t="shared" si="359"/>
        <v>-</v>
      </c>
      <c r="Z593" s="467"/>
      <c r="AA593" s="467"/>
      <c r="AB593" s="467"/>
      <c r="AC593" s="470"/>
    </row>
    <row r="594" spans="1:29" ht="12.75" customHeight="1" x14ac:dyDescent="0.25">
      <c r="A594" s="458" t="s">
        <v>288</v>
      </c>
      <c r="B594" s="459"/>
      <c r="C594" s="459"/>
      <c r="D594" s="472"/>
      <c r="E594" s="462"/>
      <c r="F594" s="478"/>
      <c r="G594" s="478"/>
      <c r="H594" s="464"/>
      <c r="I594" s="464"/>
      <c r="J594" s="464"/>
      <c r="K594" s="464"/>
      <c r="L594" s="464"/>
      <c r="M594" s="464"/>
      <c r="N594" s="464"/>
      <c r="O594" s="464"/>
      <c r="P594" s="464"/>
      <c r="Q594" s="464"/>
      <c r="R594" s="473">
        <f t="shared" si="362"/>
        <v>0</v>
      </c>
      <c r="S594" s="437"/>
      <c r="T594" s="466" t="str">
        <f t="shared" si="358"/>
        <v>--</v>
      </c>
      <c r="U594" s="467"/>
      <c r="V594" s="467"/>
      <c r="W594" s="467"/>
      <c r="X594" s="468"/>
      <c r="Y594" s="469" t="str">
        <f t="shared" si="359"/>
        <v>-</v>
      </c>
      <c r="Z594" s="467"/>
      <c r="AA594" s="467"/>
      <c r="AB594" s="467"/>
      <c r="AC594" s="470"/>
    </row>
    <row r="595" spans="1:29" ht="12.75" customHeight="1" x14ac:dyDescent="0.25">
      <c r="A595" s="458" t="s">
        <v>288</v>
      </c>
      <c r="B595" s="459"/>
      <c r="C595" s="459"/>
      <c r="D595" s="472"/>
      <c r="E595" s="462"/>
      <c r="F595" s="478"/>
      <c r="G595" s="478"/>
      <c r="H595" s="464"/>
      <c r="I595" s="464"/>
      <c r="J595" s="464"/>
      <c r="K595" s="464"/>
      <c r="L595" s="464"/>
      <c r="M595" s="464"/>
      <c r="N595" s="464"/>
      <c r="O595" s="464"/>
      <c r="P595" s="464"/>
      <c r="Q595" s="464"/>
      <c r="R595" s="473">
        <f t="shared" si="362"/>
        <v>0</v>
      </c>
      <c r="S595" s="437"/>
      <c r="T595" s="466" t="str">
        <f t="shared" si="358"/>
        <v>--</v>
      </c>
      <c r="U595" s="467"/>
      <c r="V595" s="467"/>
      <c r="W595" s="467"/>
      <c r="X595" s="468"/>
      <c r="Y595" s="469" t="str">
        <f t="shared" si="359"/>
        <v>-</v>
      </c>
      <c r="Z595" s="467"/>
      <c r="AA595" s="467"/>
      <c r="AB595" s="467"/>
      <c r="AC595" s="470"/>
    </row>
    <row r="596" spans="1:29" ht="12.75" customHeight="1" x14ac:dyDescent="0.25">
      <c r="A596" s="458" t="s">
        <v>288</v>
      </c>
      <c r="B596" s="459"/>
      <c r="C596" s="459"/>
      <c r="D596" s="472"/>
      <c r="E596" s="462"/>
      <c r="F596" s="478"/>
      <c r="G596" s="478"/>
      <c r="H596" s="464"/>
      <c r="I596" s="464"/>
      <c r="J596" s="464"/>
      <c r="K596" s="464"/>
      <c r="L596" s="464"/>
      <c r="M596" s="464"/>
      <c r="N596" s="464"/>
      <c r="O596" s="464"/>
      <c r="P596" s="464"/>
      <c r="Q596" s="464"/>
      <c r="R596" s="473">
        <f t="shared" si="362"/>
        <v>0</v>
      </c>
      <c r="S596" s="437"/>
      <c r="T596" s="466" t="str">
        <f t="shared" si="358"/>
        <v>--</v>
      </c>
      <c r="U596" s="467"/>
      <c r="V596" s="467"/>
      <c r="W596" s="467"/>
      <c r="X596" s="468"/>
      <c r="Y596" s="469" t="str">
        <f t="shared" si="359"/>
        <v>-</v>
      </c>
      <c r="Z596" s="467"/>
      <c r="AA596" s="467"/>
      <c r="AB596" s="467"/>
      <c r="AC596" s="470"/>
    </row>
    <row r="597" spans="1:29" ht="12.75" customHeight="1" x14ac:dyDescent="0.25">
      <c r="A597" s="458" t="s">
        <v>288</v>
      </c>
      <c r="B597" s="459"/>
      <c r="C597" s="459"/>
      <c r="D597" s="472"/>
      <c r="E597" s="462"/>
      <c r="F597" s="478"/>
      <c r="G597" s="478"/>
      <c r="H597" s="464"/>
      <c r="I597" s="464"/>
      <c r="J597" s="464"/>
      <c r="K597" s="464"/>
      <c r="L597" s="464"/>
      <c r="M597" s="464"/>
      <c r="N597" s="464"/>
      <c r="O597" s="464"/>
      <c r="P597" s="464"/>
      <c r="Q597" s="464"/>
      <c r="R597" s="473">
        <f t="shared" si="362"/>
        <v>0</v>
      </c>
      <c r="S597" s="437"/>
      <c r="T597" s="466" t="str">
        <f t="shared" si="358"/>
        <v>--</v>
      </c>
      <c r="U597" s="467"/>
      <c r="V597" s="467"/>
      <c r="W597" s="467"/>
      <c r="X597" s="468"/>
      <c r="Y597" s="469" t="str">
        <f t="shared" si="359"/>
        <v>-</v>
      </c>
      <c r="Z597" s="467"/>
      <c r="AA597" s="467"/>
      <c r="AB597" s="467"/>
      <c r="AC597" s="470"/>
    </row>
    <row r="598" spans="1:29" ht="12.75" customHeight="1" thickBot="1" x14ac:dyDescent="0.3">
      <c r="A598" s="479" t="s">
        <v>288</v>
      </c>
      <c r="B598" s="480"/>
      <c r="C598" s="480"/>
      <c r="D598" s="481"/>
      <c r="E598" s="482"/>
      <c r="F598" s="483"/>
      <c r="G598" s="483"/>
      <c r="H598" s="484"/>
      <c r="I598" s="484"/>
      <c r="J598" s="484"/>
      <c r="K598" s="484"/>
      <c r="L598" s="484"/>
      <c r="M598" s="484"/>
      <c r="N598" s="484"/>
      <c r="O598" s="484"/>
      <c r="P598" s="484"/>
      <c r="Q598" s="484"/>
      <c r="R598" s="485">
        <f t="shared" si="362"/>
        <v>0</v>
      </c>
      <c r="T598" s="486" t="str">
        <f t="shared" si="358"/>
        <v>--</v>
      </c>
      <c r="U598" s="487"/>
      <c r="V598" s="487"/>
      <c r="W598" s="487"/>
      <c r="X598" s="488"/>
      <c r="Y598" s="489" t="str">
        <f t="shared" si="359"/>
        <v>-</v>
      </c>
      <c r="Z598" s="487"/>
      <c r="AA598" s="487"/>
      <c r="AB598" s="487"/>
      <c r="AC598" s="490"/>
    </row>
    <row r="599" spans="1:29" ht="12.75" customHeight="1" x14ac:dyDescent="0.25">
      <c r="A599" s="491"/>
      <c r="B599" s="491"/>
      <c r="C599" s="491"/>
      <c r="D599" s="437"/>
      <c r="E599" s="492"/>
      <c r="F599" s="493"/>
      <c r="G599" s="493"/>
      <c r="H599" s="494">
        <f>H505+H581</f>
        <v>650000</v>
      </c>
      <c r="I599" s="494">
        <f>I505+I581</f>
        <v>1450000</v>
      </c>
      <c r="J599" s="494">
        <f>J505+J581</f>
        <v>1850000</v>
      </c>
      <c r="K599" s="494">
        <f t="shared" ref="K599:P599" si="363">K505+K581</f>
        <v>700000</v>
      </c>
      <c r="L599" s="494">
        <f t="shared" si="363"/>
        <v>50000</v>
      </c>
      <c r="M599" s="494">
        <f t="shared" si="363"/>
        <v>50000</v>
      </c>
      <c r="N599" s="494">
        <f t="shared" si="363"/>
        <v>50000</v>
      </c>
      <c r="O599" s="494">
        <f t="shared" si="363"/>
        <v>50000</v>
      </c>
      <c r="P599" s="494">
        <f t="shared" si="363"/>
        <v>50000</v>
      </c>
      <c r="Q599" s="494">
        <f>Q505+Q581</f>
        <v>50000</v>
      </c>
      <c r="R599" s="495"/>
      <c r="S599" s="437"/>
      <c r="T599" s="3"/>
    </row>
    <row r="600" spans="1:29" ht="12.75" customHeight="1" thickBot="1" x14ac:dyDescent="0.3">
      <c r="G600" s="3"/>
      <c r="H600" s="15"/>
      <c r="I600" s="3"/>
      <c r="J600" s="3"/>
      <c r="K600" s="3"/>
      <c r="L600" s="3"/>
      <c r="R600"/>
      <c r="S600"/>
      <c r="T600" s="3"/>
    </row>
    <row r="601" spans="1:29" ht="12.75" customHeight="1" x14ac:dyDescent="0.25">
      <c r="G601" s="496"/>
      <c r="H601" s="642" t="s">
        <v>149</v>
      </c>
      <c r="I601" s="643"/>
      <c r="J601" s="643"/>
      <c r="K601" s="643"/>
      <c r="L601" s="643"/>
      <c r="M601" s="643"/>
      <c r="N601" s="643"/>
      <c r="O601" s="643"/>
      <c r="P601" s="643"/>
      <c r="Q601" s="644"/>
      <c r="R601"/>
      <c r="S601"/>
      <c r="T601" s="3"/>
    </row>
    <row r="602" spans="1:29" ht="12.75" customHeight="1" x14ac:dyDescent="0.25">
      <c r="G602" s="497" t="s">
        <v>157</v>
      </c>
      <c r="H602" s="498" t="s">
        <v>138</v>
      </c>
      <c r="I602" s="284" t="s">
        <v>139</v>
      </c>
      <c r="J602" s="284" t="s">
        <v>140</v>
      </c>
      <c r="K602" s="284" t="s">
        <v>141</v>
      </c>
      <c r="L602" s="284" t="s">
        <v>142</v>
      </c>
      <c r="M602" s="284" t="s">
        <v>336</v>
      </c>
      <c r="N602" s="284" t="s">
        <v>337</v>
      </c>
      <c r="O602" s="284" t="s">
        <v>338</v>
      </c>
      <c r="P602" s="284" t="s">
        <v>339</v>
      </c>
      <c r="Q602" s="634" t="s">
        <v>340</v>
      </c>
      <c r="R602"/>
      <c r="S602"/>
      <c r="T602" s="3"/>
    </row>
    <row r="603" spans="1:29" ht="12.75" customHeight="1" x14ac:dyDescent="0.25">
      <c r="G603" s="499" t="s">
        <v>158</v>
      </c>
      <c r="H603" s="500">
        <v>2.9499999999999998E-2</v>
      </c>
      <c r="I603" s="125">
        <f t="shared" ref="I603:Q603" si="364">H603</f>
        <v>2.9499999999999998E-2</v>
      </c>
      <c r="J603" s="125">
        <f t="shared" si="364"/>
        <v>2.9499999999999998E-2</v>
      </c>
      <c r="K603" s="125">
        <f t="shared" si="364"/>
        <v>2.9499999999999998E-2</v>
      </c>
      <c r="L603" s="125">
        <f t="shared" si="364"/>
        <v>2.9499999999999998E-2</v>
      </c>
      <c r="M603" s="125">
        <f t="shared" si="364"/>
        <v>2.9499999999999998E-2</v>
      </c>
      <c r="N603" s="125">
        <f t="shared" si="364"/>
        <v>2.9499999999999998E-2</v>
      </c>
      <c r="O603" s="125">
        <f t="shared" si="364"/>
        <v>2.9499999999999998E-2</v>
      </c>
      <c r="P603" s="125">
        <f t="shared" si="364"/>
        <v>2.9499999999999998E-2</v>
      </c>
      <c r="Q603" s="424">
        <f t="shared" si="364"/>
        <v>2.9499999999999998E-2</v>
      </c>
      <c r="R603"/>
      <c r="S603"/>
      <c r="T603" s="3"/>
    </row>
    <row r="604" spans="1:29" ht="12.75" customHeight="1" x14ac:dyDescent="0.25">
      <c r="G604" s="499" t="s">
        <v>159</v>
      </c>
      <c r="H604" s="501">
        <v>20</v>
      </c>
      <c r="I604" s="35">
        <f>H604</f>
        <v>20</v>
      </c>
      <c r="J604" s="35">
        <f>I604</f>
        <v>20</v>
      </c>
      <c r="K604" s="35">
        <f t="shared" ref="K604:Q604" si="365">J604</f>
        <v>20</v>
      </c>
      <c r="L604" s="35">
        <f t="shared" si="365"/>
        <v>20</v>
      </c>
      <c r="M604" s="35">
        <f t="shared" si="365"/>
        <v>20</v>
      </c>
      <c r="N604" s="35">
        <f t="shared" si="365"/>
        <v>20</v>
      </c>
      <c r="O604" s="35">
        <f t="shared" si="365"/>
        <v>20</v>
      </c>
      <c r="P604" s="35">
        <f t="shared" si="365"/>
        <v>20</v>
      </c>
      <c r="Q604" s="425">
        <f t="shared" si="365"/>
        <v>20</v>
      </c>
      <c r="R604"/>
      <c r="S604"/>
      <c r="T604" s="3"/>
    </row>
    <row r="605" spans="1:29" ht="12.75" customHeight="1" x14ac:dyDescent="0.25">
      <c r="G605" s="502" t="s">
        <v>160</v>
      </c>
      <c r="H605" s="503">
        <v>3.5000000000000003E-2</v>
      </c>
      <c r="I605" s="66">
        <f>H605</f>
        <v>3.5000000000000003E-2</v>
      </c>
      <c r="J605" s="66">
        <v>3.5000000000000003E-2</v>
      </c>
      <c r="K605" s="66">
        <v>3.5000000000000003E-2</v>
      </c>
      <c r="L605" s="66">
        <v>3.5000000000000003E-2</v>
      </c>
      <c r="M605" s="66">
        <v>3.5000000000000003E-2</v>
      </c>
      <c r="N605" s="66">
        <v>3.5000000000000003E-2</v>
      </c>
      <c r="O605" s="66">
        <v>3.5000000000000003E-2</v>
      </c>
      <c r="P605" s="66">
        <v>3.5000000000000003E-2</v>
      </c>
      <c r="Q605" s="426">
        <v>3.5000000000000003E-2</v>
      </c>
      <c r="R605"/>
      <c r="S605"/>
      <c r="T605" s="3"/>
    </row>
    <row r="606" spans="1:29" ht="12.75" customHeight="1" thickBot="1" x14ac:dyDescent="0.3">
      <c r="G606" s="504" t="s">
        <v>161</v>
      </c>
      <c r="H606" s="505">
        <f>H397</f>
        <v>2025</v>
      </c>
      <c r="I606" s="283">
        <f>H606+1</f>
        <v>2026</v>
      </c>
      <c r="J606" s="283">
        <f>I606+1</f>
        <v>2027</v>
      </c>
      <c r="K606" s="283">
        <f t="shared" ref="K606:Q606" si="366">J606+1</f>
        <v>2028</v>
      </c>
      <c r="L606" s="283">
        <f t="shared" si="366"/>
        <v>2029</v>
      </c>
      <c r="M606" s="283">
        <f t="shared" si="366"/>
        <v>2030</v>
      </c>
      <c r="N606" s="283">
        <f t="shared" si="366"/>
        <v>2031</v>
      </c>
      <c r="O606" s="283">
        <f t="shared" si="366"/>
        <v>2032</v>
      </c>
      <c r="P606" s="283">
        <f t="shared" si="366"/>
        <v>2033</v>
      </c>
      <c r="Q606" s="427">
        <f t="shared" si="366"/>
        <v>2034</v>
      </c>
      <c r="R606"/>
      <c r="S606"/>
      <c r="T606" s="3"/>
    </row>
    <row r="607" spans="1:29" ht="12.75" customHeight="1" x14ac:dyDescent="0.25">
      <c r="B607" s="2"/>
      <c r="C607" s="2"/>
      <c r="D607" s="2"/>
      <c r="E607" s="1"/>
      <c r="F607" s="1"/>
      <c r="G607" s="1"/>
      <c r="H607" s="1"/>
      <c r="I607" s="1"/>
      <c r="J607" s="1"/>
      <c r="K607" s="1"/>
      <c r="L607" s="3"/>
      <c r="O607"/>
      <c r="P607"/>
      <c r="Q607"/>
      <c r="R607"/>
      <c r="S607"/>
      <c r="U607"/>
      <c r="V607"/>
      <c r="W607"/>
      <c r="X607"/>
    </row>
    <row r="608" spans="1:29" ht="12.75" customHeight="1" x14ac:dyDescent="0.25">
      <c r="B608" s="2"/>
      <c r="C608" s="2"/>
      <c r="D608" s="2"/>
      <c r="E608" s="1"/>
      <c r="F608" s="1"/>
      <c r="G608" s="1"/>
      <c r="H608" s="1"/>
      <c r="I608" s="1"/>
      <c r="J608" s="1"/>
      <c r="K608" s="1"/>
      <c r="L608" s="3"/>
      <c r="O608"/>
      <c r="P608"/>
      <c r="Q608"/>
      <c r="R608"/>
      <c r="S608"/>
      <c r="U608"/>
      <c r="V608"/>
      <c r="W608"/>
      <c r="X608"/>
    </row>
  </sheetData>
  <mergeCells count="8">
    <mergeCell ref="H396:Q396"/>
    <mergeCell ref="H601:Q601"/>
    <mergeCell ref="A5:C5"/>
    <mergeCell ref="A228:C228"/>
    <mergeCell ref="A366:C366"/>
    <mergeCell ref="A77:C77"/>
    <mergeCell ref="A150:C150"/>
    <mergeCell ref="A259:C259"/>
  </mergeCells>
  <phoneticPr fontId="0" type="noConversion"/>
  <dataValidations count="8">
    <dataValidation type="list" allowBlank="1" showInputMessage="1" showErrorMessage="1" sqref="S599" xr:uid="{00000000-0002-0000-0100-000000000000}">
      <formula1>#REF!</formula1>
    </dataValidation>
    <dataValidation type="list" allowBlank="1" showInputMessage="1" showErrorMessage="1" sqref="G398:G547 G549:G598" xr:uid="{00000000-0002-0000-0100-000001000000}">
      <formula1>"Cash,Fees,Debt,Grant,Other"</formula1>
    </dataValidation>
    <dataValidation type="list" allowBlank="1" showInputMessage="1" showErrorMessage="1" sqref="E599" xr:uid="{00000000-0002-0000-0100-000002000000}">
      <formula1>"Raw Supply,Raw Diversion,Raw Pipeline,Treatment,Network,Distribution,Meters,Administration"</formula1>
    </dataValidation>
    <dataValidation type="list" allowBlank="1" showInputMessage="1" showErrorMessage="1" sqref="G599" xr:uid="{00000000-0002-0000-0100-000003000000}">
      <formula1>"Cash, Debt"</formula1>
    </dataValidation>
    <dataValidation type="list" allowBlank="1" showInputMessage="1" showErrorMessage="1" sqref="E549:E598" xr:uid="{00000000-0002-0000-0100-000004000000}">
      <formula1>"WW Treatment,Pumping &amp; Interceptors,Collection"</formula1>
    </dataValidation>
    <dataValidation type="list" allowBlank="1" showInputMessage="1" showErrorMessage="1" sqref="E398:E548" xr:uid="{00000000-0002-0000-0100-000005000000}">
      <formula1>"GW Supply,SW Supply,Water Treatment,PS&amp;T,Distribution,Reclaimed"</formula1>
    </dataValidation>
    <dataValidation type="list" allowBlank="1" showInputMessage="1" showErrorMessage="1" sqref="G548" xr:uid="{00000000-0002-0000-0100-000006000000}">
      <formula1>"Cash,Fees,Debt"</formula1>
    </dataValidation>
    <dataValidation type="list" allowBlank="1" showInputMessage="1" showErrorMessage="1" sqref="F398:F599" xr:uid="{00000000-0002-0000-0100-000007000000}">
      <formula1>"Yes,No"</formula1>
    </dataValidation>
  </dataValidations>
  <printOptions horizontalCentered="1" verticalCentered="1"/>
  <pageMargins left="0.25" right="0.25" top="0.25" bottom="0.25" header="0" footer="0"/>
  <pageSetup scale="69" fitToHeight="0" orientation="portrait" r:id="rId1"/>
  <headerFooter alignWithMargins="0"/>
  <rowBreaks count="7" manualBreakCount="7">
    <brk id="70" max="16383" man="1"/>
    <brk id="145" max="16383" man="1"/>
    <brk id="223" max="10" man="1"/>
    <brk id="254" max="10" man="1"/>
    <brk id="300" max="16383" man="1"/>
    <brk id="350" max="16383" man="1"/>
    <brk id="607" max="10" man="1"/>
  </rowBreaks>
  <colBreaks count="1" manualBreakCount="1">
    <brk id="11"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U62"/>
  <sheetViews>
    <sheetView workbookViewId="0">
      <selection activeCell="N44" sqref="N44"/>
    </sheetView>
  </sheetViews>
  <sheetFormatPr defaultRowHeight="13.2" x14ac:dyDescent="0.25"/>
  <cols>
    <col min="3" max="3" width="22.109375" bestFit="1" customWidth="1"/>
    <col min="4" max="4" width="12" bestFit="1" customWidth="1"/>
    <col min="5" max="15" width="10.6640625" customWidth="1"/>
    <col min="16" max="16" width="9.5546875" bestFit="1" customWidth="1"/>
  </cols>
  <sheetData>
    <row r="3" spans="2:21" x14ac:dyDescent="0.25">
      <c r="B3" s="29"/>
      <c r="C3" s="29"/>
      <c r="D3" s="29"/>
      <c r="E3" s="647" t="s">
        <v>311</v>
      </c>
      <c r="F3" s="647"/>
      <c r="G3" s="647"/>
      <c r="H3" s="647"/>
      <c r="I3" s="647"/>
      <c r="J3" s="647"/>
      <c r="K3" s="647"/>
      <c r="L3" s="647"/>
      <c r="M3" s="647"/>
      <c r="N3" s="647"/>
      <c r="O3" s="647"/>
      <c r="P3" s="29"/>
      <c r="Q3" s="647" t="s">
        <v>312</v>
      </c>
      <c r="R3" s="647"/>
      <c r="S3" s="139"/>
      <c r="T3" s="647" t="s">
        <v>318</v>
      </c>
      <c r="U3" s="647"/>
    </row>
    <row r="4" spans="2:21" x14ac:dyDescent="0.25">
      <c r="B4" s="593" t="s">
        <v>137</v>
      </c>
      <c r="C4" s="593" t="s">
        <v>313</v>
      </c>
      <c r="D4" s="593" t="s">
        <v>314</v>
      </c>
      <c r="E4" s="598">
        <f>Sum!F366</f>
        <v>2024</v>
      </c>
      <c r="F4" s="598">
        <f>Sum!G366</f>
        <v>2025</v>
      </c>
      <c r="G4" s="598">
        <f>Sum!H366</f>
        <v>2026</v>
      </c>
      <c r="H4" s="598">
        <f>Sum!I366</f>
        <v>2027</v>
      </c>
      <c r="I4" s="598">
        <f>Sum!J366</f>
        <v>2028</v>
      </c>
      <c r="J4" s="598">
        <f>Sum!K366</f>
        <v>2029</v>
      </c>
      <c r="K4" s="598">
        <f>Sum!L366</f>
        <v>2030</v>
      </c>
      <c r="L4" s="598">
        <f>Sum!M366</f>
        <v>2031</v>
      </c>
      <c r="M4" s="598">
        <f>Sum!N366</f>
        <v>2032</v>
      </c>
      <c r="N4" s="598">
        <f>Sum!O366</f>
        <v>2033</v>
      </c>
      <c r="O4" s="598">
        <f>Sum!P366</f>
        <v>2034</v>
      </c>
      <c r="P4" s="29"/>
      <c r="Q4" s="598" t="s">
        <v>372</v>
      </c>
      <c r="R4" s="598" t="s">
        <v>373</v>
      </c>
      <c r="S4" s="139"/>
      <c r="T4" s="598" t="s">
        <v>372</v>
      </c>
      <c r="U4" s="598" t="s">
        <v>373</v>
      </c>
    </row>
    <row r="5" spans="2:21" x14ac:dyDescent="0.25">
      <c r="B5" s="3"/>
      <c r="C5" s="3"/>
      <c r="D5" s="3"/>
      <c r="H5" s="13"/>
      <c r="I5" s="13"/>
      <c r="J5" s="13"/>
      <c r="K5" s="13"/>
      <c r="L5" s="13"/>
      <c r="M5" s="13"/>
      <c r="N5" s="13"/>
      <c r="O5" s="13"/>
      <c r="P5" s="3"/>
      <c r="Q5" s="3"/>
      <c r="R5" s="3"/>
      <c r="T5" s="3"/>
      <c r="U5" s="3"/>
    </row>
    <row r="6" spans="2:21" x14ac:dyDescent="0.25">
      <c r="B6" s="29" t="s">
        <v>241</v>
      </c>
      <c r="C6" s="3"/>
      <c r="D6" s="3"/>
      <c r="H6" s="13"/>
      <c r="I6" s="13"/>
      <c r="J6" s="13"/>
      <c r="K6" s="13"/>
      <c r="L6" s="13"/>
      <c r="M6" s="13"/>
      <c r="N6" s="13"/>
      <c r="O6" s="13"/>
      <c r="P6" s="3"/>
      <c r="Q6" s="3"/>
      <c r="R6" s="3"/>
      <c r="T6" s="3"/>
      <c r="U6" s="3"/>
    </row>
    <row r="7" spans="2:21" x14ac:dyDescent="0.25">
      <c r="B7" s="3"/>
      <c r="C7" s="3" t="s">
        <v>319</v>
      </c>
      <c r="D7" s="3"/>
      <c r="H7" s="13"/>
      <c r="I7" s="13"/>
      <c r="J7" s="13"/>
      <c r="K7" s="13"/>
      <c r="L7" s="13"/>
      <c r="M7" s="13"/>
      <c r="N7" s="13"/>
      <c r="O7" s="13"/>
      <c r="P7" s="3"/>
      <c r="Q7" s="3"/>
      <c r="R7" s="3"/>
      <c r="T7" s="3"/>
      <c r="U7" s="3"/>
    </row>
    <row r="8" spans="2:21" x14ac:dyDescent="0.25">
      <c r="B8" s="3"/>
      <c r="C8" s="3"/>
      <c r="D8" s="37">
        <v>2500</v>
      </c>
      <c r="E8" s="594">
        <f>Sum!F$263+(Sum!F$285*2.5)+(Sum!F$286*0)</f>
        <v>4.5</v>
      </c>
      <c r="F8" s="594">
        <f>Sum!G$263+(Sum!G$285*2.5)+(Sum!G$286*0)</f>
        <v>7.875</v>
      </c>
      <c r="G8" s="594">
        <f>Sum!H$263+(Sum!H$285*2.5)+(Sum!H$286*0)</f>
        <v>8.6625000000000014</v>
      </c>
      <c r="H8" s="594">
        <f>Sum!I$263+(Sum!I$285*2.5)+(Sum!I$286*0)</f>
        <v>8.9223750000000024</v>
      </c>
      <c r="I8" s="594">
        <f>Sum!J$263+(Sum!J$285*2.5)+(Sum!J$286*0)</f>
        <v>9.1900462500000035</v>
      </c>
      <c r="J8" s="594">
        <f>Sum!K$263+(Sum!K$285*2.5)+(Sum!K$286*0)</f>
        <v>9.4657476375000034</v>
      </c>
      <c r="K8" s="594">
        <f>Sum!L$263+(Sum!L$285*2.5)+(Sum!L$286*0)</f>
        <v>9.7497200666250041</v>
      </c>
      <c r="L8" s="594">
        <f>Sum!M$263+(Sum!M$285*2.5)+(Sum!M$286*0)</f>
        <v>10.042211668623754</v>
      </c>
      <c r="M8" s="594">
        <f>Sum!N$263+(Sum!N$285*2.5)+(Sum!N$286*0)</f>
        <v>10.343478018682466</v>
      </c>
      <c r="N8" s="594">
        <f>Sum!O$263+(Sum!O$285*2.5)+(Sum!O$286*0)</f>
        <v>10.653782359242941</v>
      </c>
      <c r="O8" s="594">
        <f>Sum!P$263+(Sum!P$285*2.5)+(Sum!P$286*0)</f>
        <v>10.973395830020229</v>
      </c>
      <c r="P8" s="3"/>
      <c r="Q8" s="36">
        <f>F8-E8</f>
        <v>3.375</v>
      </c>
      <c r="R8" s="36">
        <f t="shared" ref="Q8:R14" si="0">G8-F8</f>
        <v>0.78750000000000142</v>
      </c>
      <c r="T8" s="597">
        <f t="shared" ref="T8:U14" si="1">Q8/E8</f>
        <v>0.75</v>
      </c>
      <c r="U8" s="597">
        <f t="shared" si="1"/>
        <v>0.10000000000000019</v>
      </c>
    </row>
    <row r="9" spans="2:21" x14ac:dyDescent="0.25">
      <c r="C9" s="3"/>
      <c r="D9" s="37">
        <v>5000</v>
      </c>
      <c r="E9" s="594">
        <f>Sum!F$263+(Sum!F$285*3)+(Sum!F$286*2)</f>
        <v>7.5</v>
      </c>
      <c r="F9" s="594">
        <f>Sum!G$263+(Sum!G$285*3)+(Sum!G$286*2)</f>
        <v>13.135</v>
      </c>
      <c r="G9" s="594">
        <f>Sum!H$263+(Sum!H$285*3)+(Sum!H$286*2)</f>
        <v>14.442500000000003</v>
      </c>
      <c r="H9" s="594">
        <f>Sum!I$263+(Sum!I$285*3)+(Sum!I$286*2)</f>
        <v>14.882375000000003</v>
      </c>
      <c r="I9" s="594">
        <f>Sum!J$263+(Sum!J$285*3)+(Sum!J$286*2)</f>
        <v>15.330046250000002</v>
      </c>
      <c r="J9" s="594">
        <f>Sum!K$263+(Sum!K$285*3)+(Sum!K$286*2)</f>
        <v>15.785747637500004</v>
      </c>
      <c r="K9" s="594">
        <f>Sum!L$263+(Sum!L$285*3)+(Sum!L$286*2)</f>
        <v>16.249720066625002</v>
      </c>
      <c r="L9" s="594">
        <f>Sum!M$263+(Sum!M$285*3)+(Sum!M$286*2)</f>
        <v>16.742211668623753</v>
      </c>
      <c r="M9" s="594">
        <f>Sum!N$263+(Sum!N$285*3)+(Sum!N$286*2)</f>
        <v>17.243478018682467</v>
      </c>
      <c r="N9" s="594">
        <f>Sum!O$263+(Sum!O$285*3)+(Sum!O$286*2)</f>
        <v>17.75378235924294</v>
      </c>
      <c r="O9" s="594">
        <f>Sum!P$263+(Sum!P$285*3)+(Sum!P$286*2)</f>
        <v>18.293395830020231</v>
      </c>
      <c r="P9" s="3"/>
      <c r="Q9" s="36">
        <f t="shared" si="0"/>
        <v>5.6349999999999998</v>
      </c>
      <c r="R9" s="36">
        <f t="shared" si="0"/>
        <v>1.3075000000000028</v>
      </c>
      <c r="T9" s="597">
        <f t="shared" si="1"/>
        <v>0.7513333333333333</v>
      </c>
      <c r="U9" s="597">
        <f t="shared" si="1"/>
        <v>9.9543205177008209E-2</v>
      </c>
    </row>
    <row r="10" spans="2:21" x14ac:dyDescent="0.25">
      <c r="C10" s="3"/>
      <c r="D10" s="37">
        <v>7500</v>
      </c>
      <c r="E10" s="594">
        <f>Sum!F$263+(Sum!F$285*3)+(Sum!F$286*4.5)</f>
        <v>11.25</v>
      </c>
      <c r="F10" s="594">
        <f>Sum!G$263+(Sum!G$285*3)+(Sum!G$286*4.5)</f>
        <v>19.71</v>
      </c>
      <c r="G10" s="594">
        <f>Sum!H$263+(Sum!H$285*3)+(Sum!H$286*4.5)</f>
        <v>21.667500000000004</v>
      </c>
      <c r="H10" s="594">
        <f>Sum!I$263+(Sum!I$285*3)+(Sum!I$286*4.5)</f>
        <v>22.332375000000003</v>
      </c>
      <c r="I10" s="594">
        <f>Sum!J$263+(Sum!J$285*3)+(Sum!J$286*4.5)</f>
        <v>23.005046250000003</v>
      </c>
      <c r="J10" s="594">
        <f>Sum!K$263+(Sum!K$285*3)+(Sum!K$286*4.5)</f>
        <v>23.685747637500004</v>
      </c>
      <c r="K10" s="594">
        <f>Sum!L$263+(Sum!L$285*3)+(Sum!L$286*4.5)</f>
        <v>24.374720066625002</v>
      </c>
      <c r="L10" s="594">
        <f>Sum!M$263+(Sum!M$285*3)+(Sum!M$286*4.5)</f>
        <v>25.117211668623753</v>
      </c>
      <c r="M10" s="594">
        <f>Sum!N$263+(Sum!N$285*3)+(Sum!N$286*4.5)</f>
        <v>25.868478018682467</v>
      </c>
      <c r="N10" s="594">
        <f>Sum!O$263+(Sum!O$285*3)+(Sum!O$286*4.5)</f>
        <v>26.62878235924294</v>
      </c>
      <c r="O10" s="594">
        <f>Sum!P$263+(Sum!P$285*3)+(Sum!P$286*4.5)</f>
        <v>27.443395830020229</v>
      </c>
      <c r="P10" s="3"/>
      <c r="Q10" s="36">
        <f t="shared" si="0"/>
        <v>8.4600000000000009</v>
      </c>
      <c r="R10" s="36">
        <f t="shared" si="0"/>
        <v>1.9575000000000031</v>
      </c>
      <c r="T10" s="597">
        <f t="shared" si="1"/>
        <v>0.75200000000000011</v>
      </c>
      <c r="U10" s="597">
        <f t="shared" si="1"/>
        <v>9.9315068493150846E-2</v>
      </c>
    </row>
    <row r="11" spans="2:21" x14ac:dyDescent="0.25">
      <c r="C11" s="3"/>
      <c r="D11" s="37">
        <v>10000</v>
      </c>
      <c r="E11" s="594">
        <f>Sum!F$263+(Sum!F$285*3)+(Sum!F$286*7)</f>
        <v>15</v>
      </c>
      <c r="F11" s="594">
        <f>Sum!G$263+(Sum!G$285*3)+(Sum!G$286*7)</f>
        <v>26.285</v>
      </c>
      <c r="G11" s="594">
        <f>Sum!H$263+(Sum!H$285*3)+(Sum!H$286*7)</f>
        <v>28.892500000000002</v>
      </c>
      <c r="H11" s="594">
        <f>Sum!I$263+(Sum!I$285*3)+(Sum!I$286*7)</f>
        <v>29.782375000000002</v>
      </c>
      <c r="I11" s="594">
        <f>Sum!J$263+(Sum!J$285*3)+(Sum!J$286*7)</f>
        <v>30.680046250000004</v>
      </c>
      <c r="J11" s="594">
        <f>Sum!K$263+(Sum!K$285*3)+(Sum!K$286*7)</f>
        <v>31.585747637500006</v>
      </c>
      <c r="K11" s="594">
        <f>Sum!L$263+(Sum!L$285*3)+(Sum!L$286*7)</f>
        <v>32.499720066625002</v>
      </c>
      <c r="L11" s="594">
        <f>Sum!M$263+(Sum!M$285*3)+(Sum!M$286*7)</f>
        <v>33.492211668623753</v>
      </c>
      <c r="M11" s="594">
        <f>Sum!N$263+(Sum!N$285*3)+(Sum!N$286*7)</f>
        <v>34.493478018682467</v>
      </c>
      <c r="N11" s="594">
        <f>Sum!O$263+(Sum!O$285*3)+(Sum!O$286*7)</f>
        <v>35.50378235924294</v>
      </c>
      <c r="O11" s="594">
        <f>Sum!P$263+(Sum!P$285*3)+(Sum!P$286*7)</f>
        <v>36.593395830020228</v>
      </c>
      <c r="P11" s="3"/>
      <c r="Q11" s="36">
        <f t="shared" si="0"/>
        <v>11.285</v>
      </c>
      <c r="R11" s="36">
        <f t="shared" si="0"/>
        <v>2.6075000000000017</v>
      </c>
      <c r="T11" s="597">
        <f t="shared" si="1"/>
        <v>0.7523333333333333</v>
      </c>
      <c r="U11" s="597">
        <f t="shared" si="1"/>
        <v>9.9201065246338274E-2</v>
      </c>
    </row>
    <row r="12" spans="2:21" x14ac:dyDescent="0.25">
      <c r="C12" s="3"/>
      <c r="D12" s="37">
        <v>12500</v>
      </c>
      <c r="E12" s="594">
        <f>Sum!F$263+(Sum!F$285*3)+(Sum!F$286*9.5)</f>
        <v>18.75</v>
      </c>
      <c r="F12" s="594">
        <f>Sum!G$263+(Sum!G$285*3)+(Sum!G$286*9.5)</f>
        <v>32.86</v>
      </c>
      <c r="G12" s="594">
        <f>Sum!H$263+(Sum!H$285*3)+(Sum!H$286*9.5)</f>
        <v>36.117500000000007</v>
      </c>
      <c r="H12" s="594">
        <f>Sum!I$263+(Sum!I$285*3)+(Sum!I$286*9.5)</f>
        <v>37.232375000000005</v>
      </c>
      <c r="I12" s="594">
        <f>Sum!J$263+(Sum!J$285*3)+(Sum!J$286*9.5)</f>
        <v>38.355046250000001</v>
      </c>
      <c r="J12" s="594">
        <f>Sum!K$263+(Sum!K$285*3)+(Sum!K$286*9.5)</f>
        <v>39.485747637500005</v>
      </c>
      <c r="K12" s="594">
        <f>Sum!L$263+(Sum!L$285*3)+(Sum!L$286*9.5)</f>
        <v>40.624720066625002</v>
      </c>
      <c r="L12" s="594">
        <f>Sum!M$263+(Sum!M$285*3)+(Sum!M$286*9.5)</f>
        <v>41.867211668623753</v>
      </c>
      <c r="M12" s="594">
        <f>Sum!N$263+(Sum!N$285*3)+(Sum!N$286*9.5)</f>
        <v>43.118478018682467</v>
      </c>
      <c r="N12" s="594">
        <f>Sum!O$263+(Sum!O$285*3)+(Sum!O$286*9.5)</f>
        <v>44.37878235924294</v>
      </c>
      <c r="O12" s="594">
        <f>Sum!P$263+(Sum!P$285*3)+(Sum!P$286*9.5)</f>
        <v>45.743395830020233</v>
      </c>
      <c r="P12" s="3"/>
      <c r="Q12" s="36">
        <f t="shared" si="0"/>
        <v>14.11</v>
      </c>
      <c r="R12" s="36">
        <f t="shared" si="0"/>
        <v>3.2575000000000074</v>
      </c>
      <c r="T12" s="597">
        <f t="shared" si="1"/>
        <v>0.75253333333333328</v>
      </c>
      <c r="U12" s="597">
        <f t="shared" si="1"/>
        <v>9.9132684114425065E-2</v>
      </c>
    </row>
    <row r="13" spans="2:21" x14ac:dyDescent="0.25">
      <c r="C13" s="3"/>
      <c r="D13" s="37">
        <v>15000</v>
      </c>
      <c r="E13" s="594">
        <f>Sum!F$263+(Sum!F$285*3)+(Sum!F$286*12)</f>
        <v>22.5</v>
      </c>
      <c r="F13" s="594">
        <f>Sum!G$263+(Sum!G$285*3)+(Sum!G$286*12)</f>
        <v>39.435000000000002</v>
      </c>
      <c r="G13" s="594">
        <f>Sum!H$263+(Sum!H$285*3)+(Sum!H$286*12)</f>
        <v>43.342500000000001</v>
      </c>
      <c r="H13" s="594">
        <f>Sum!I$263+(Sum!I$285*3)+(Sum!I$286*12)</f>
        <v>44.682375</v>
      </c>
      <c r="I13" s="594">
        <f>Sum!J$263+(Sum!J$285*3)+(Sum!J$286*12)</f>
        <v>46.030046249999998</v>
      </c>
      <c r="J13" s="594">
        <f>Sum!K$263+(Sum!K$285*3)+(Sum!K$286*12)</f>
        <v>47.385747637500003</v>
      </c>
      <c r="K13" s="594">
        <f>Sum!L$263+(Sum!L$285*3)+(Sum!L$286*12)</f>
        <v>48.749720066625002</v>
      </c>
      <c r="L13" s="594">
        <f>Sum!M$263+(Sum!M$285*3)+(Sum!M$286*12)</f>
        <v>50.242211668623753</v>
      </c>
      <c r="M13" s="594">
        <f>Sum!N$263+(Sum!N$285*3)+(Sum!N$286*12)</f>
        <v>51.743478018682474</v>
      </c>
      <c r="N13" s="594">
        <f>Sum!O$263+(Sum!O$285*3)+(Sum!O$286*12)</f>
        <v>53.253782359242933</v>
      </c>
      <c r="O13" s="594">
        <f>Sum!P$263+(Sum!P$285*3)+(Sum!P$286*12)</f>
        <v>54.893395830020232</v>
      </c>
      <c r="P13" s="3"/>
      <c r="Q13" s="36">
        <f t="shared" si="0"/>
        <v>16.935000000000002</v>
      </c>
      <c r="R13" s="36">
        <f t="shared" si="0"/>
        <v>3.9074999999999989</v>
      </c>
      <c r="T13" s="597">
        <f t="shared" si="1"/>
        <v>0.75266666666666682</v>
      </c>
      <c r="U13" s="597">
        <f t="shared" si="1"/>
        <v>9.9087105363255962E-2</v>
      </c>
    </row>
    <row r="14" spans="2:21" x14ac:dyDescent="0.25">
      <c r="C14" s="3"/>
      <c r="D14" s="37">
        <v>20000</v>
      </c>
      <c r="E14" s="594">
        <f>Sum!F$263+(Sum!F$285*3)+(Sum!F$286*17)</f>
        <v>30</v>
      </c>
      <c r="F14" s="594">
        <f>Sum!G$263+(Sum!G$285*3)+(Sum!G$286*17)</f>
        <v>52.585000000000001</v>
      </c>
      <c r="G14" s="594">
        <f>Sum!H$263+(Sum!H$285*3)+(Sum!H$286*17)</f>
        <v>57.792500000000004</v>
      </c>
      <c r="H14" s="594">
        <f>Sum!I$263+(Sum!I$285*3)+(Sum!I$286*17)</f>
        <v>59.582374999999999</v>
      </c>
      <c r="I14" s="594">
        <f>Sum!J$263+(Sum!J$285*3)+(Sum!J$286*17)</f>
        <v>61.380046249999999</v>
      </c>
      <c r="J14" s="594">
        <f>Sum!K$263+(Sum!K$285*3)+(Sum!K$286*17)</f>
        <v>63.1857476375</v>
      </c>
      <c r="K14" s="594">
        <f>Sum!L$263+(Sum!L$285*3)+(Sum!L$286*17)</f>
        <v>64.999720066625002</v>
      </c>
      <c r="L14" s="594">
        <f>Sum!M$263+(Sum!M$285*3)+(Sum!M$286*17)</f>
        <v>66.992211668623753</v>
      </c>
      <c r="M14" s="594">
        <f>Sum!N$263+(Sum!N$285*3)+(Sum!N$286*17)</f>
        <v>68.993478018682467</v>
      </c>
      <c r="N14" s="594">
        <f>Sum!O$263+(Sum!O$285*3)+(Sum!O$286*17)</f>
        <v>71.003782359242933</v>
      </c>
      <c r="O14" s="594">
        <f>Sum!P$263+(Sum!P$285*3)+(Sum!P$286*17)</f>
        <v>73.193395830020222</v>
      </c>
      <c r="P14" s="3"/>
      <c r="Q14" s="36">
        <f t="shared" si="0"/>
        <v>22.585000000000001</v>
      </c>
      <c r="R14" s="36">
        <f t="shared" si="0"/>
        <v>5.2075000000000031</v>
      </c>
      <c r="T14" s="597">
        <f t="shared" si="1"/>
        <v>0.75283333333333335</v>
      </c>
      <c r="U14" s="597">
        <f t="shared" si="1"/>
        <v>9.9030141675382766E-2</v>
      </c>
    </row>
    <row r="15" spans="2:21" x14ac:dyDescent="0.25">
      <c r="C15" s="3" t="s">
        <v>315</v>
      </c>
      <c r="D15" s="37"/>
      <c r="H15" s="13"/>
      <c r="I15" s="13"/>
      <c r="J15" s="13"/>
      <c r="K15" s="13"/>
      <c r="L15" s="13"/>
      <c r="M15" s="13"/>
      <c r="N15" s="13"/>
      <c r="O15" s="13"/>
      <c r="P15" s="3"/>
      <c r="Q15" s="36"/>
      <c r="R15" s="36"/>
      <c r="T15" s="597"/>
      <c r="U15" s="597"/>
    </row>
    <row r="16" spans="2:21" x14ac:dyDescent="0.25">
      <c r="C16" s="3"/>
      <c r="D16" s="37">
        <v>5000</v>
      </c>
      <c r="E16" s="595">
        <f>Sum!F$264+(Sum!F$294*3)+(Sum!F$295*2)</f>
        <v>7.5</v>
      </c>
      <c r="F16" s="595">
        <f>Sum!G$264+(Sum!G$294*3)+(Sum!G$295*2)</f>
        <v>13.135</v>
      </c>
      <c r="G16" s="595">
        <f>Sum!H$264+(Sum!H$294*3)+(Sum!H$295*2)</f>
        <v>14.442500000000003</v>
      </c>
      <c r="H16" s="595">
        <f>Sum!I$264+(Sum!I$294*3)+(Sum!I$295*2)</f>
        <v>14.882375000000003</v>
      </c>
      <c r="I16" s="595">
        <f>Sum!J$264+(Sum!J$294*3)+(Sum!J$295*2)</f>
        <v>15.330046250000002</v>
      </c>
      <c r="J16" s="595">
        <f>Sum!K$264+(Sum!K$294*3)+(Sum!K$295*2)</f>
        <v>15.785747637500004</v>
      </c>
      <c r="K16" s="595">
        <f>Sum!L$264+(Sum!L$294*3)+(Sum!L$295*2)</f>
        <v>16.249720066625002</v>
      </c>
      <c r="L16" s="595">
        <f>Sum!M$264+(Sum!M$294*3)+(Sum!M$295*2)</f>
        <v>16.742211668623753</v>
      </c>
      <c r="M16" s="595">
        <f>Sum!N$264+(Sum!N$294*3)+(Sum!N$295*2)</f>
        <v>17.243478018682467</v>
      </c>
      <c r="N16" s="595">
        <f>Sum!O$264+(Sum!O$294*3)+(Sum!O$295*2)</f>
        <v>17.75378235924294</v>
      </c>
      <c r="O16" s="595">
        <f>Sum!P$264+(Sum!P$294*3)+(Sum!P$295*2)</f>
        <v>18.293395830020231</v>
      </c>
      <c r="P16" s="3"/>
      <c r="Q16" s="36">
        <f t="shared" ref="Q16:R22" si="2">F16-E16</f>
        <v>5.6349999999999998</v>
      </c>
      <c r="R16" s="36">
        <f t="shared" si="2"/>
        <v>1.3075000000000028</v>
      </c>
      <c r="T16" s="597">
        <f t="shared" ref="T16:U22" si="3">Q16/E16</f>
        <v>0.7513333333333333</v>
      </c>
      <c r="U16" s="597">
        <f t="shared" si="3"/>
        <v>9.9543205177008209E-2</v>
      </c>
    </row>
    <row r="17" spans="2:21" x14ac:dyDescent="0.25">
      <c r="C17" s="3"/>
      <c r="D17" s="37">
        <v>10000</v>
      </c>
      <c r="E17" s="595">
        <f>Sum!F$264+(Sum!F$294*3)+(Sum!F$295*7)</f>
        <v>15</v>
      </c>
      <c r="F17" s="595">
        <f>Sum!G$264+(Sum!G$294*3)+(Sum!G$295*7)</f>
        <v>26.285</v>
      </c>
      <c r="G17" s="595">
        <f>Sum!H$264+(Sum!H$294*3)+(Sum!H$295*7)</f>
        <v>28.892500000000002</v>
      </c>
      <c r="H17" s="595">
        <f>Sum!I$264+(Sum!I$294*3)+(Sum!I$295*7)</f>
        <v>29.782375000000002</v>
      </c>
      <c r="I17" s="595">
        <f>Sum!J$264+(Sum!J$294*3)+(Sum!J$295*7)</f>
        <v>30.680046250000004</v>
      </c>
      <c r="J17" s="595">
        <f>Sum!K$264+(Sum!K$294*3)+(Sum!K$295*7)</f>
        <v>31.585747637500006</v>
      </c>
      <c r="K17" s="595">
        <f>Sum!L$264+(Sum!L$294*3)+(Sum!L$295*7)</f>
        <v>32.499720066625002</v>
      </c>
      <c r="L17" s="595">
        <f>Sum!M$264+(Sum!M$294*3)+(Sum!M$295*7)</f>
        <v>33.492211668623753</v>
      </c>
      <c r="M17" s="595">
        <f>Sum!N$264+(Sum!N$294*3)+(Sum!N$295*7)</f>
        <v>34.493478018682467</v>
      </c>
      <c r="N17" s="595">
        <f>Sum!O$264+(Sum!O$294*3)+(Sum!O$295*7)</f>
        <v>35.50378235924294</v>
      </c>
      <c r="O17" s="595">
        <f>Sum!P$264+(Sum!P$294*3)+(Sum!P$295*7)</f>
        <v>36.593395830020228</v>
      </c>
      <c r="P17" s="3"/>
      <c r="Q17" s="36">
        <f t="shared" si="2"/>
        <v>11.285</v>
      </c>
      <c r="R17" s="36">
        <f t="shared" si="2"/>
        <v>2.6075000000000017</v>
      </c>
      <c r="T17" s="597">
        <f t="shared" si="3"/>
        <v>0.7523333333333333</v>
      </c>
      <c r="U17" s="597">
        <f t="shared" si="3"/>
        <v>9.9201065246338274E-2</v>
      </c>
    </row>
    <row r="18" spans="2:21" x14ac:dyDescent="0.25">
      <c r="C18" s="3"/>
      <c r="D18" s="37">
        <v>15000</v>
      </c>
      <c r="E18" s="595">
        <f>Sum!F$264+(Sum!F$294*3)+(Sum!F$295*12)</f>
        <v>22.5</v>
      </c>
      <c r="F18" s="595">
        <f>Sum!G$264+(Sum!G$294*3)+(Sum!G$295*12)</f>
        <v>39.435000000000002</v>
      </c>
      <c r="G18" s="595">
        <f>Sum!H$264+(Sum!H$294*3)+(Sum!H$295*12)</f>
        <v>43.342500000000001</v>
      </c>
      <c r="H18" s="595">
        <f>Sum!I$264+(Sum!I$294*3)+(Sum!I$295*12)</f>
        <v>44.682375</v>
      </c>
      <c r="I18" s="595">
        <f>Sum!J$264+(Sum!J$294*3)+(Sum!J$295*12)</f>
        <v>46.030046249999998</v>
      </c>
      <c r="J18" s="595">
        <f>Sum!K$264+(Sum!K$294*3)+(Sum!K$295*12)</f>
        <v>47.385747637500003</v>
      </c>
      <c r="K18" s="595">
        <f>Sum!L$264+(Sum!L$294*3)+(Sum!L$295*12)</f>
        <v>48.749720066625002</v>
      </c>
      <c r="L18" s="595">
        <f>Sum!M$264+(Sum!M$294*3)+(Sum!M$295*12)</f>
        <v>50.242211668623753</v>
      </c>
      <c r="M18" s="595">
        <f>Sum!N$264+(Sum!N$294*3)+(Sum!N$295*12)</f>
        <v>51.743478018682474</v>
      </c>
      <c r="N18" s="595">
        <f>Sum!O$264+(Sum!O$294*3)+(Sum!O$295*12)</f>
        <v>53.253782359242933</v>
      </c>
      <c r="O18" s="595">
        <f>Sum!P$264+(Sum!P$294*3)+(Sum!P$295*12)</f>
        <v>54.893395830020232</v>
      </c>
      <c r="P18" s="3"/>
      <c r="Q18" s="36">
        <f t="shared" si="2"/>
        <v>16.935000000000002</v>
      </c>
      <c r="R18" s="36">
        <f t="shared" si="2"/>
        <v>3.9074999999999989</v>
      </c>
      <c r="T18" s="597">
        <f t="shared" si="3"/>
        <v>0.75266666666666682</v>
      </c>
      <c r="U18" s="597">
        <f t="shared" si="3"/>
        <v>9.9087105363255962E-2</v>
      </c>
    </row>
    <row r="19" spans="2:21" x14ac:dyDescent="0.25">
      <c r="C19" s="3"/>
      <c r="D19" s="37">
        <v>25000</v>
      </c>
      <c r="E19" s="595">
        <f>Sum!F$264+(Sum!F$294*3)+(Sum!F$295*22)</f>
        <v>37.5</v>
      </c>
      <c r="F19" s="595">
        <f>Sum!G$264+(Sum!G$294*3)+(Sum!G$295*22)</f>
        <v>65.734999999999999</v>
      </c>
      <c r="G19" s="595">
        <f>Sum!H$264+(Sum!H$294*3)+(Sum!H$295*22)</f>
        <v>72.242500000000007</v>
      </c>
      <c r="H19" s="595">
        <f>Sum!I$264+(Sum!I$294*3)+(Sum!I$295*22)</f>
        <v>74.482375000000005</v>
      </c>
      <c r="I19" s="595">
        <f>Sum!J$264+(Sum!J$294*3)+(Sum!J$295*22)</f>
        <v>76.730046250000001</v>
      </c>
      <c r="J19" s="595">
        <f>Sum!K$264+(Sum!K$294*3)+(Sum!K$295*22)</f>
        <v>78.985747637500012</v>
      </c>
      <c r="K19" s="595">
        <f>Sum!L$264+(Sum!L$294*3)+(Sum!L$295*22)</f>
        <v>81.249720066625002</v>
      </c>
      <c r="L19" s="595">
        <f>Sum!M$264+(Sum!M$294*3)+(Sum!M$295*22)</f>
        <v>83.742211668623753</v>
      </c>
      <c r="M19" s="595">
        <f>Sum!N$264+(Sum!N$294*3)+(Sum!N$295*22)</f>
        <v>86.243478018682467</v>
      </c>
      <c r="N19" s="595">
        <f>Sum!O$264+(Sum!O$294*3)+(Sum!O$295*22)</f>
        <v>88.753782359242933</v>
      </c>
      <c r="O19" s="595">
        <f>Sum!P$264+(Sum!P$294*3)+(Sum!P$295*22)</f>
        <v>91.493395830020233</v>
      </c>
      <c r="P19" s="3"/>
      <c r="Q19" s="36">
        <f t="shared" si="2"/>
        <v>28.234999999999999</v>
      </c>
      <c r="R19" s="36">
        <f t="shared" si="2"/>
        <v>6.5075000000000074</v>
      </c>
      <c r="T19" s="597">
        <f t="shared" si="3"/>
        <v>0.75293333333333334</v>
      </c>
      <c r="U19" s="597">
        <f t="shared" si="3"/>
        <v>9.8995968662052292E-2</v>
      </c>
    </row>
    <row r="20" spans="2:21" x14ac:dyDescent="0.25">
      <c r="C20" s="3"/>
      <c r="D20" s="37">
        <v>50000</v>
      </c>
      <c r="E20" s="595">
        <f>Sum!F$264+(Sum!F$294*3)+(Sum!F$295*47)</f>
        <v>75</v>
      </c>
      <c r="F20" s="595">
        <f>Sum!G$264+(Sum!G$294*3)+(Sum!G$295*47)</f>
        <v>131.48500000000001</v>
      </c>
      <c r="G20" s="595">
        <f>Sum!H$264+(Sum!H$294*3)+(Sum!H$295*47)</f>
        <v>144.49250000000001</v>
      </c>
      <c r="H20" s="595">
        <f>Sum!I$264+(Sum!I$294*3)+(Sum!I$295*47)</f>
        <v>148.98237499999999</v>
      </c>
      <c r="I20" s="595">
        <f>Sum!J$264+(Sum!J$294*3)+(Sum!J$295*47)</f>
        <v>153.48004624999999</v>
      </c>
      <c r="J20" s="595">
        <f>Sum!K$264+(Sum!K$294*3)+(Sum!K$295*47)</f>
        <v>157.98574763750003</v>
      </c>
      <c r="K20" s="595">
        <f>Sum!L$264+(Sum!L$294*3)+(Sum!L$295*47)</f>
        <v>162.499720066625</v>
      </c>
      <c r="L20" s="595">
        <f>Sum!M$264+(Sum!M$294*3)+(Sum!M$295*47)</f>
        <v>167.49221166862378</v>
      </c>
      <c r="M20" s="595">
        <f>Sum!N$264+(Sum!N$294*3)+(Sum!N$295*47)</f>
        <v>172.49347801868248</v>
      </c>
      <c r="N20" s="595">
        <f>Sum!O$264+(Sum!O$294*3)+(Sum!O$295*47)</f>
        <v>177.50378235924293</v>
      </c>
      <c r="O20" s="595">
        <f>Sum!P$264+(Sum!P$294*3)+(Sum!P$295*47)</f>
        <v>182.99339583002023</v>
      </c>
      <c r="P20" s="3"/>
      <c r="Q20" s="36">
        <f t="shared" si="2"/>
        <v>56.485000000000014</v>
      </c>
      <c r="R20" s="36">
        <f t="shared" si="2"/>
        <v>13.007499999999993</v>
      </c>
      <c r="T20" s="597">
        <f t="shared" si="3"/>
        <v>0.75313333333333354</v>
      </c>
      <c r="U20" s="597">
        <f t="shared" si="3"/>
        <v>9.8927634330912215E-2</v>
      </c>
    </row>
    <row r="21" spans="2:21" x14ac:dyDescent="0.25">
      <c r="C21" s="3"/>
      <c r="D21" s="37">
        <v>100000</v>
      </c>
      <c r="E21" s="595">
        <f>Sum!F$264+(Sum!F$294*3)+(Sum!F$295*97)</f>
        <v>150</v>
      </c>
      <c r="F21" s="595">
        <f>Sum!G$264+(Sum!G$294*3)+(Sum!G$295*97)</f>
        <v>262.98500000000001</v>
      </c>
      <c r="G21" s="595">
        <f>Sum!H$264+(Sum!H$294*3)+(Sum!H$295*97)</f>
        <v>288.99250000000001</v>
      </c>
      <c r="H21" s="595">
        <f>Sum!I$264+(Sum!I$294*3)+(Sum!I$295*97)</f>
        <v>297.98237499999999</v>
      </c>
      <c r="I21" s="595">
        <f>Sum!J$264+(Sum!J$294*3)+(Sum!J$295*97)</f>
        <v>306.98004624999999</v>
      </c>
      <c r="J21" s="595">
        <f>Sum!K$264+(Sum!K$294*3)+(Sum!K$295*97)</f>
        <v>315.98574763750003</v>
      </c>
      <c r="K21" s="595">
        <f>Sum!L$264+(Sum!L$294*3)+(Sum!L$295*97)</f>
        <v>324.999720066625</v>
      </c>
      <c r="L21" s="595">
        <f>Sum!M$264+(Sum!M$294*3)+(Sum!M$295*97)</f>
        <v>334.99221166862372</v>
      </c>
      <c r="M21" s="595">
        <f>Sum!N$264+(Sum!N$294*3)+(Sum!N$295*97)</f>
        <v>344.99347801868248</v>
      </c>
      <c r="N21" s="595">
        <f>Sum!O$264+(Sum!O$294*3)+(Sum!O$295*97)</f>
        <v>355.0037823592429</v>
      </c>
      <c r="O21" s="595">
        <f>Sum!P$264+(Sum!P$294*3)+(Sum!P$295*97)</f>
        <v>365.99339583002029</v>
      </c>
      <c r="P21" s="3"/>
      <c r="Q21" s="36">
        <f t="shared" si="2"/>
        <v>112.98500000000001</v>
      </c>
      <c r="R21" s="36">
        <f t="shared" si="2"/>
        <v>26.007499999999993</v>
      </c>
      <c r="T21" s="597">
        <f t="shared" si="3"/>
        <v>0.75323333333333342</v>
      </c>
      <c r="U21" s="597">
        <f t="shared" si="3"/>
        <v>9.8893473011768707E-2</v>
      </c>
    </row>
    <row r="22" spans="2:21" x14ac:dyDescent="0.25">
      <c r="B22" s="3"/>
      <c r="C22" s="3"/>
      <c r="D22" s="37">
        <v>250000</v>
      </c>
      <c r="E22" s="595">
        <f>Sum!F$264+(Sum!F$294*3)+(Sum!F$295*247)</f>
        <v>375</v>
      </c>
      <c r="F22" s="595">
        <f>Sum!G$264+(Sum!G$294*3)+(Sum!G$295*247)</f>
        <v>657.48500000000001</v>
      </c>
      <c r="G22" s="595">
        <f>Sum!H$264+(Sum!H$294*3)+(Sum!H$295*247)</f>
        <v>722.49250000000006</v>
      </c>
      <c r="H22" s="595">
        <f>Sum!I$264+(Sum!I$294*3)+(Sum!I$295*247)</f>
        <v>744.98237499999993</v>
      </c>
      <c r="I22" s="595">
        <f>Sum!J$264+(Sum!J$294*3)+(Sum!J$295*247)</f>
        <v>767.48004624999999</v>
      </c>
      <c r="J22" s="595">
        <f>Sum!K$264+(Sum!K$294*3)+(Sum!K$295*247)</f>
        <v>789.98574763750003</v>
      </c>
      <c r="K22" s="595">
        <f>Sum!L$264+(Sum!L$294*3)+(Sum!L$295*247)</f>
        <v>812.49972006662506</v>
      </c>
      <c r="L22" s="595">
        <f>Sum!M$264+(Sum!M$294*3)+(Sum!M$295*247)</f>
        <v>837.49221166862378</v>
      </c>
      <c r="M22" s="595">
        <f>Sum!N$264+(Sum!N$294*3)+(Sum!N$295*247)</f>
        <v>862.49347801868259</v>
      </c>
      <c r="N22" s="595">
        <f>Sum!O$264+(Sum!O$294*3)+(Sum!O$295*247)</f>
        <v>887.5037823592429</v>
      </c>
      <c r="O22" s="595">
        <f>Sum!P$264+(Sum!P$294*3)+(Sum!P$295*247)</f>
        <v>914.99339583002018</v>
      </c>
      <c r="P22" s="3"/>
      <c r="Q22" s="36">
        <f t="shared" si="2"/>
        <v>282.48500000000001</v>
      </c>
      <c r="R22" s="36">
        <f t="shared" si="2"/>
        <v>65.00750000000005</v>
      </c>
      <c r="T22" s="597">
        <f t="shared" si="3"/>
        <v>0.75329333333333337</v>
      </c>
      <c r="U22" s="597">
        <f t="shared" si="3"/>
        <v>9.8872978090755001E-2</v>
      </c>
    </row>
    <row r="23" spans="2:21" x14ac:dyDescent="0.25">
      <c r="B23" s="3"/>
      <c r="C23" s="3"/>
      <c r="D23" s="3"/>
      <c r="H23" s="13"/>
      <c r="I23" s="13"/>
      <c r="J23" s="13"/>
      <c r="K23" s="13"/>
      <c r="L23" s="13"/>
      <c r="M23" s="13"/>
      <c r="N23" s="13"/>
      <c r="O23" s="13"/>
      <c r="P23" s="3"/>
      <c r="Q23" s="3"/>
      <c r="R23" s="3"/>
      <c r="T23" s="234"/>
      <c r="U23" s="234"/>
    </row>
    <row r="24" spans="2:21" x14ac:dyDescent="0.25">
      <c r="B24" s="29" t="s">
        <v>316</v>
      </c>
      <c r="C24" s="3"/>
      <c r="D24" s="3"/>
      <c r="H24" s="13"/>
      <c r="I24" s="13"/>
      <c r="J24" s="13"/>
      <c r="K24" s="13"/>
      <c r="L24" s="13"/>
      <c r="M24" s="13"/>
      <c r="N24" s="13"/>
      <c r="O24" s="13"/>
      <c r="P24" s="3"/>
      <c r="Q24" s="3"/>
      <c r="R24" s="3"/>
      <c r="T24" s="234"/>
      <c r="U24" s="234"/>
    </row>
    <row r="25" spans="2:21" x14ac:dyDescent="0.25">
      <c r="B25" s="3"/>
      <c r="C25" s="3" t="s">
        <v>319</v>
      </c>
      <c r="D25" s="3"/>
      <c r="H25" s="13"/>
      <c r="I25" s="13"/>
      <c r="J25" s="13"/>
      <c r="K25" s="13"/>
      <c r="L25" s="13"/>
      <c r="M25" s="13"/>
      <c r="N25" s="13"/>
      <c r="O25" s="13"/>
      <c r="P25" s="3"/>
      <c r="Q25" s="3"/>
      <c r="R25" s="3"/>
      <c r="T25" s="234"/>
      <c r="U25" s="234"/>
    </row>
    <row r="26" spans="2:21" x14ac:dyDescent="0.25">
      <c r="B26" s="3"/>
      <c r="C26" s="3"/>
      <c r="D26" s="37">
        <v>2500</v>
      </c>
      <c r="E26" s="594">
        <f>Sum!F$370+(Sum!F$381*0)</f>
        <v>12</v>
      </c>
      <c r="F26" s="594">
        <f>Sum!G$370+(Sum!G$381*0)</f>
        <v>15.600000000000001</v>
      </c>
      <c r="G26" s="594">
        <f>Sum!H$370+(Sum!H$381*0)</f>
        <v>20.28</v>
      </c>
      <c r="H26" s="594">
        <f>Sum!I$370+(Sum!I$381*0)</f>
        <v>20.28</v>
      </c>
      <c r="I26" s="594">
        <f>Sum!J$370+(Sum!J$381*0)</f>
        <v>20.28</v>
      </c>
      <c r="J26" s="594">
        <f>Sum!K$370+(Sum!K$381*0)</f>
        <v>20.28</v>
      </c>
      <c r="K26" s="594">
        <f>Sum!L$370+(Sum!L$381*0)</f>
        <v>20.28</v>
      </c>
      <c r="L26" s="594">
        <f>Sum!M$370+(Sum!M$381*0)</f>
        <v>20.28</v>
      </c>
      <c r="M26" s="594">
        <f>Sum!N$370+(Sum!N$381*0)</f>
        <v>20.28</v>
      </c>
      <c r="N26" s="594">
        <f>Sum!O$370+(Sum!O$381*0)</f>
        <v>20.28</v>
      </c>
      <c r="O26" s="594">
        <f>Sum!P$370+(Sum!P$381*0)</f>
        <v>20.28</v>
      </c>
      <c r="P26" s="3"/>
      <c r="Q26" s="36">
        <f t="shared" ref="Q26:R32" si="4">F26-E26</f>
        <v>3.6000000000000014</v>
      </c>
      <c r="R26" s="36">
        <f t="shared" si="4"/>
        <v>4.68</v>
      </c>
      <c r="T26" s="597">
        <f t="shared" ref="T26:U32" si="5">Q26/E26</f>
        <v>0.3000000000000001</v>
      </c>
      <c r="U26" s="597">
        <f t="shared" si="5"/>
        <v>0.29999999999999993</v>
      </c>
    </row>
    <row r="27" spans="2:21" x14ac:dyDescent="0.25">
      <c r="C27" s="3"/>
      <c r="D27" s="37">
        <v>5000</v>
      </c>
      <c r="E27" s="594">
        <f>Sum!F$370+(Sum!F$381*2)</f>
        <v>18</v>
      </c>
      <c r="F27" s="594">
        <f>Sum!G$370+(Sum!G$381*2)</f>
        <v>23.400000000000002</v>
      </c>
      <c r="G27" s="594">
        <f>Sum!H$370+(Sum!H$381*2)</f>
        <v>30.42</v>
      </c>
      <c r="H27" s="594">
        <f>Sum!I$370+(Sum!I$381*2)</f>
        <v>30.42</v>
      </c>
      <c r="I27" s="594">
        <f>Sum!J$370+(Sum!J$381*2)</f>
        <v>30.42</v>
      </c>
      <c r="J27" s="594">
        <f>Sum!K$370+(Sum!K$381*2)</f>
        <v>30.42</v>
      </c>
      <c r="K27" s="594">
        <f>Sum!L$370+(Sum!L$381*2)</f>
        <v>30.42</v>
      </c>
      <c r="L27" s="594">
        <f>Sum!M$370+(Sum!M$381*2)</f>
        <v>30.42</v>
      </c>
      <c r="M27" s="594">
        <f>Sum!N$370+(Sum!N$381*2)</f>
        <v>30.42</v>
      </c>
      <c r="N27" s="594">
        <f>Sum!O$370+(Sum!O$381*2)</f>
        <v>30.42</v>
      </c>
      <c r="O27" s="594">
        <f>Sum!P$370+(Sum!P$381*2)</f>
        <v>30.42</v>
      </c>
      <c r="P27" s="3"/>
      <c r="Q27" s="36">
        <f t="shared" si="4"/>
        <v>5.4000000000000021</v>
      </c>
      <c r="R27" s="36">
        <f t="shared" si="4"/>
        <v>7.02</v>
      </c>
      <c r="T27" s="597">
        <f t="shared" si="5"/>
        <v>0.3000000000000001</v>
      </c>
      <c r="U27" s="597">
        <f t="shared" si="5"/>
        <v>0.29999999999999993</v>
      </c>
    </row>
    <row r="28" spans="2:21" x14ac:dyDescent="0.25">
      <c r="C28" s="3"/>
      <c r="D28" s="37">
        <v>7500</v>
      </c>
      <c r="E28" s="594">
        <f>Sum!F$370+(Sum!F$381*4.5)</f>
        <v>25.5</v>
      </c>
      <c r="F28" s="594">
        <f>Sum!G$370+(Sum!G$381*4.5)</f>
        <v>33.150000000000006</v>
      </c>
      <c r="G28" s="594">
        <f>Sum!H$370+(Sum!H$381*4.5)</f>
        <v>43.094999999999999</v>
      </c>
      <c r="H28" s="594">
        <f>Sum!I$370+(Sum!I$381*4.5)</f>
        <v>43.094999999999999</v>
      </c>
      <c r="I28" s="594">
        <f>Sum!J$370+(Sum!J$381*4.5)</f>
        <v>43.094999999999999</v>
      </c>
      <c r="J28" s="594">
        <f>Sum!K$370+(Sum!K$381*4.5)</f>
        <v>43.094999999999999</v>
      </c>
      <c r="K28" s="594">
        <f>Sum!L$370+(Sum!L$381*4.5)</f>
        <v>43.094999999999999</v>
      </c>
      <c r="L28" s="594">
        <f>Sum!M$370+(Sum!M$381*4.5)</f>
        <v>43.094999999999999</v>
      </c>
      <c r="M28" s="594">
        <f>Sum!N$370+(Sum!N$381*4.5)</f>
        <v>43.094999999999999</v>
      </c>
      <c r="N28" s="594">
        <f>Sum!O$370+(Sum!O$381*4.5)</f>
        <v>43.094999999999999</v>
      </c>
      <c r="O28" s="594">
        <f>Sum!P$370+(Sum!P$381*4.5)</f>
        <v>43.094999999999999</v>
      </c>
      <c r="P28" s="3"/>
      <c r="Q28" s="36">
        <f t="shared" si="4"/>
        <v>7.6500000000000057</v>
      </c>
      <c r="R28" s="36">
        <f t="shared" si="4"/>
        <v>9.9449999999999932</v>
      </c>
      <c r="T28" s="597">
        <f t="shared" si="5"/>
        <v>0.30000000000000021</v>
      </c>
      <c r="U28" s="597">
        <f t="shared" si="5"/>
        <v>0.29999999999999977</v>
      </c>
    </row>
    <row r="29" spans="2:21" x14ac:dyDescent="0.25">
      <c r="C29" s="3"/>
      <c r="D29" s="37">
        <v>10000</v>
      </c>
      <c r="E29" s="594">
        <f>Sum!F$370+(Sum!F$381*7)</f>
        <v>33</v>
      </c>
      <c r="F29" s="594">
        <f>Sum!G$370+(Sum!G$381*7)</f>
        <v>42.900000000000006</v>
      </c>
      <c r="G29" s="594">
        <f>Sum!H$370+(Sum!H$381*7)</f>
        <v>55.77</v>
      </c>
      <c r="H29" s="594">
        <f>Sum!I$370+(Sum!I$381*7)</f>
        <v>55.77</v>
      </c>
      <c r="I29" s="594">
        <f>Sum!J$370+(Sum!J$381*7)</f>
        <v>55.77</v>
      </c>
      <c r="J29" s="594">
        <f>Sum!K$370+(Sum!K$381*7)</f>
        <v>55.77</v>
      </c>
      <c r="K29" s="594">
        <f>Sum!L$370+(Sum!L$381*7)</f>
        <v>55.77</v>
      </c>
      <c r="L29" s="594">
        <f>Sum!M$370+(Sum!M$381*7)</f>
        <v>55.77</v>
      </c>
      <c r="M29" s="594">
        <f>Sum!N$370+(Sum!N$381*7)</f>
        <v>55.77</v>
      </c>
      <c r="N29" s="594">
        <f>Sum!O$370+(Sum!O$381*7)</f>
        <v>55.77</v>
      </c>
      <c r="O29" s="594">
        <f>Sum!P$370+(Sum!P$381*7)</f>
        <v>55.77</v>
      </c>
      <c r="P29" s="3"/>
      <c r="Q29" s="36">
        <f t="shared" si="4"/>
        <v>9.9000000000000057</v>
      </c>
      <c r="R29" s="36">
        <f t="shared" si="4"/>
        <v>12.869999999999997</v>
      </c>
      <c r="T29" s="597">
        <f t="shared" si="5"/>
        <v>0.30000000000000016</v>
      </c>
      <c r="U29" s="597">
        <f t="shared" si="5"/>
        <v>0.29999999999999988</v>
      </c>
    </row>
    <row r="30" spans="2:21" x14ac:dyDescent="0.25">
      <c r="C30" s="3"/>
      <c r="D30" s="37">
        <v>12500</v>
      </c>
      <c r="E30" s="594">
        <f>Sum!F$370+(Sum!F$381*9.5)</f>
        <v>40.5</v>
      </c>
      <c r="F30" s="594">
        <f>Sum!G$370+(Sum!G$381*9.5)</f>
        <v>52.65</v>
      </c>
      <c r="G30" s="594">
        <f>Sum!H$370+(Sum!H$381*9.5)</f>
        <v>68.445000000000007</v>
      </c>
      <c r="H30" s="594">
        <f>Sum!I$370+(Sum!I$381*9.5)</f>
        <v>68.445000000000007</v>
      </c>
      <c r="I30" s="594">
        <f>Sum!J$370+(Sum!J$381*9.5)</f>
        <v>68.445000000000007</v>
      </c>
      <c r="J30" s="594">
        <f>Sum!K$370+(Sum!K$381*9.5)</f>
        <v>68.445000000000007</v>
      </c>
      <c r="K30" s="594">
        <f>Sum!L$370+(Sum!L$381*9.5)</f>
        <v>68.445000000000007</v>
      </c>
      <c r="L30" s="594">
        <f>Sum!M$370+(Sum!M$381*9.5)</f>
        <v>68.445000000000007</v>
      </c>
      <c r="M30" s="594">
        <f>Sum!N$370+(Sum!N$381*9.5)</f>
        <v>68.445000000000007</v>
      </c>
      <c r="N30" s="594">
        <f>Sum!O$370+(Sum!O$381*9.5)</f>
        <v>68.445000000000007</v>
      </c>
      <c r="O30" s="594">
        <f>Sum!P$370+(Sum!P$381*9.5)</f>
        <v>68.445000000000007</v>
      </c>
      <c r="P30" s="3"/>
      <c r="Q30" s="36">
        <f t="shared" si="4"/>
        <v>12.149999999999999</v>
      </c>
      <c r="R30" s="36">
        <f t="shared" si="4"/>
        <v>15.795000000000009</v>
      </c>
      <c r="T30" s="597">
        <f t="shared" si="5"/>
        <v>0.3</v>
      </c>
      <c r="U30" s="597">
        <f t="shared" si="5"/>
        <v>0.30000000000000016</v>
      </c>
    </row>
    <row r="31" spans="2:21" x14ac:dyDescent="0.25">
      <c r="C31" s="3"/>
      <c r="D31" s="37">
        <v>15000</v>
      </c>
      <c r="E31" s="594">
        <f>Sum!F$370+(Sum!F$381*12)</f>
        <v>48</v>
      </c>
      <c r="F31" s="594">
        <f>Sum!G$370+(Sum!G$381*12)</f>
        <v>62.4</v>
      </c>
      <c r="G31" s="594">
        <f>Sum!H$370+(Sum!H$381*12)</f>
        <v>81.12</v>
      </c>
      <c r="H31" s="594">
        <f>Sum!I$370+(Sum!I$381*12)</f>
        <v>81.12</v>
      </c>
      <c r="I31" s="594">
        <f>Sum!J$370+(Sum!J$381*12)</f>
        <v>81.12</v>
      </c>
      <c r="J31" s="594">
        <f>Sum!K$370+(Sum!K$381*12)</f>
        <v>81.12</v>
      </c>
      <c r="K31" s="594">
        <f>Sum!L$370+(Sum!L$381*12)</f>
        <v>81.12</v>
      </c>
      <c r="L31" s="594">
        <f>Sum!M$370+(Sum!M$381*12)</f>
        <v>81.12</v>
      </c>
      <c r="M31" s="594">
        <f>Sum!N$370+(Sum!N$381*12)</f>
        <v>81.12</v>
      </c>
      <c r="N31" s="594">
        <f>Sum!O$370+(Sum!O$381*12)</f>
        <v>81.12</v>
      </c>
      <c r="O31" s="594">
        <f>Sum!P$370+(Sum!P$381*12)</f>
        <v>81.12</v>
      </c>
      <c r="P31" s="3"/>
      <c r="Q31" s="36">
        <f t="shared" si="4"/>
        <v>14.399999999999999</v>
      </c>
      <c r="R31" s="36">
        <f t="shared" si="4"/>
        <v>18.720000000000006</v>
      </c>
      <c r="T31" s="597">
        <f t="shared" si="5"/>
        <v>0.3</v>
      </c>
      <c r="U31" s="597">
        <f t="shared" si="5"/>
        <v>0.3000000000000001</v>
      </c>
    </row>
    <row r="32" spans="2:21" x14ac:dyDescent="0.25">
      <c r="C32" s="3"/>
      <c r="D32" s="37">
        <v>20000</v>
      </c>
      <c r="E32" s="594">
        <f>Sum!F$370+(Sum!F$381*17)</f>
        <v>63</v>
      </c>
      <c r="F32" s="594">
        <f>Sum!G$370+(Sum!G$381*17)</f>
        <v>81.900000000000006</v>
      </c>
      <c r="G32" s="594">
        <f>Sum!H$370+(Sum!H$381*17)</f>
        <v>106.47</v>
      </c>
      <c r="H32" s="594">
        <f>Sum!I$370+(Sum!I$381*17)</f>
        <v>106.47</v>
      </c>
      <c r="I32" s="594">
        <f>Sum!J$370+(Sum!J$381*17)</f>
        <v>106.47</v>
      </c>
      <c r="J32" s="594">
        <f>Sum!K$370+(Sum!K$381*17)</f>
        <v>106.47</v>
      </c>
      <c r="K32" s="594">
        <f>Sum!L$370+(Sum!L$381*17)</f>
        <v>106.47</v>
      </c>
      <c r="L32" s="594">
        <f>Sum!M$370+(Sum!M$381*17)</f>
        <v>106.47</v>
      </c>
      <c r="M32" s="594">
        <f>Sum!N$370+(Sum!N$381*17)</f>
        <v>106.47</v>
      </c>
      <c r="N32" s="594">
        <f>Sum!O$370+(Sum!O$381*17)</f>
        <v>106.47</v>
      </c>
      <c r="O32" s="594">
        <f>Sum!P$370+(Sum!P$381*17)</f>
        <v>106.47</v>
      </c>
      <c r="P32" s="3"/>
      <c r="Q32" s="36">
        <f t="shared" si="4"/>
        <v>18.900000000000006</v>
      </c>
      <c r="R32" s="36">
        <f t="shared" si="4"/>
        <v>24.569999999999993</v>
      </c>
      <c r="T32" s="597">
        <f t="shared" si="5"/>
        <v>0.3000000000000001</v>
      </c>
      <c r="U32" s="597">
        <f t="shared" si="5"/>
        <v>0.29999999999999988</v>
      </c>
    </row>
    <row r="33" spans="2:21" x14ac:dyDescent="0.25">
      <c r="C33" s="3" t="s">
        <v>315</v>
      </c>
      <c r="D33" s="37"/>
      <c r="H33" s="13"/>
      <c r="I33" s="13"/>
      <c r="J33" s="13"/>
      <c r="K33" s="13"/>
      <c r="L33" s="13"/>
      <c r="M33" s="13"/>
      <c r="N33" s="13"/>
      <c r="O33" s="13"/>
      <c r="P33" s="3"/>
      <c r="Q33" s="36"/>
      <c r="R33" s="36"/>
      <c r="T33" s="597"/>
      <c r="U33" s="597"/>
    </row>
    <row r="34" spans="2:21" x14ac:dyDescent="0.25">
      <c r="C34" s="3"/>
      <c r="D34" s="37">
        <v>5000</v>
      </c>
      <c r="E34" s="595">
        <f>Sum!F$371+(Sum!F$382*2)</f>
        <v>18</v>
      </c>
      <c r="F34" s="595">
        <f>Sum!G$371+(Sum!G$382*2)</f>
        <v>23.400000000000002</v>
      </c>
      <c r="G34" s="595">
        <f>Sum!H$371+(Sum!H$382*2)</f>
        <v>30.42</v>
      </c>
      <c r="H34" s="595">
        <f>Sum!I$371+(Sum!I$382*2)</f>
        <v>30.42</v>
      </c>
      <c r="I34" s="595">
        <f>Sum!J$371+(Sum!J$382*2)</f>
        <v>30.42</v>
      </c>
      <c r="J34" s="595">
        <f>Sum!K$371+(Sum!K$382*2)</f>
        <v>30.42</v>
      </c>
      <c r="K34" s="595">
        <f>Sum!L$371+(Sum!L$382*2)</f>
        <v>30.42</v>
      </c>
      <c r="L34" s="595">
        <f>Sum!M$371+(Sum!M$382*2)</f>
        <v>30.42</v>
      </c>
      <c r="M34" s="595">
        <f>Sum!N$371+(Sum!N$382*2)</f>
        <v>30.42</v>
      </c>
      <c r="N34" s="595">
        <f>Sum!O$371+(Sum!O$382*2)</f>
        <v>30.42</v>
      </c>
      <c r="O34" s="595">
        <f>Sum!P$371+(Sum!P$382*2)</f>
        <v>30.42</v>
      </c>
      <c r="P34" s="3"/>
      <c r="Q34" s="36">
        <f t="shared" ref="Q34:R40" si="6">F34-E34</f>
        <v>5.4000000000000021</v>
      </c>
      <c r="R34" s="36">
        <f t="shared" si="6"/>
        <v>7.02</v>
      </c>
      <c r="T34" s="597">
        <f t="shared" ref="T34:U40" si="7">Q34/E34</f>
        <v>0.3000000000000001</v>
      </c>
      <c r="U34" s="597">
        <f t="shared" si="7"/>
        <v>0.29999999999999993</v>
      </c>
    </row>
    <row r="35" spans="2:21" x14ac:dyDescent="0.25">
      <c r="C35" s="3"/>
      <c r="D35" s="37">
        <v>10000</v>
      </c>
      <c r="E35" s="595">
        <f>Sum!F$371+(Sum!F$382*7)</f>
        <v>33</v>
      </c>
      <c r="F35" s="595">
        <f>Sum!G$371+(Sum!G$382*7)</f>
        <v>42.900000000000006</v>
      </c>
      <c r="G35" s="595">
        <f>Sum!H$371+(Sum!H$382*7)</f>
        <v>55.77</v>
      </c>
      <c r="H35" s="595">
        <f>Sum!I$371+(Sum!I$382*7)</f>
        <v>55.77</v>
      </c>
      <c r="I35" s="595">
        <f>Sum!J$371+(Sum!J$382*7)</f>
        <v>55.77</v>
      </c>
      <c r="J35" s="595">
        <f>Sum!K$371+(Sum!K$382*7)</f>
        <v>55.77</v>
      </c>
      <c r="K35" s="595">
        <f>Sum!L$371+(Sum!L$382*7)</f>
        <v>55.77</v>
      </c>
      <c r="L35" s="595">
        <f>Sum!M$371+(Sum!M$382*7)</f>
        <v>55.77</v>
      </c>
      <c r="M35" s="595">
        <f>Sum!N$371+(Sum!N$382*7)</f>
        <v>55.77</v>
      </c>
      <c r="N35" s="595">
        <f>Sum!O$371+(Sum!O$382*7)</f>
        <v>55.77</v>
      </c>
      <c r="O35" s="595">
        <f>Sum!P$371+(Sum!P$382*7)</f>
        <v>55.77</v>
      </c>
      <c r="P35" s="3"/>
      <c r="Q35" s="36">
        <f t="shared" si="6"/>
        <v>9.9000000000000057</v>
      </c>
      <c r="R35" s="36">
        <f t="shared" si="6"/>
        <v>12.869999999999997</v>
      </c>
      <c r="T35" s="597">
        <f t="shared" si="7"/>
        <v>0.30000000000000016</v>
      </c>
      <c r="U35" s="597">
        <f t="shared" si="7"/>
        <v>0.29999999999999988</v>
      </c>
    </row>
    <row r="36" spans="2:21" x14ac:dyDescent="0.25">
      <c r="C36" s="3"/>
      <c r="D36" s="37">
        <v>15000</v>
      </c>
      <c r="E36" s="595">
        <f>Sum!F$371+(Sum!F$382*12)</f>
        <v>48</v>
      </c>
      <c r="F36" s="595">
        <f>Sum!G$371+(Sum!G$382*12)</f>
        <v>62.4</v>
      </c>
      <c r="G36" s="595">
        <f>Sum!H$371+(Sum!H$382*12)</f>
        <v>81.12</v>
      </c>
      <c r="H36" s="595">
        <f>Sum!I$371+(Sum!I$382*12)</f>
        <v>81.12</v>
      </c>
      <c r="I36" s="595">
        <f>Sum!J$371+(Sum!J$382*12)</f>
        <v>81.12</v>
      </c>
      <c r="J36" s="595">
        <f>Sum!K$371+(Sum!K$382*12)</f>
        <v>81.12</v>
      </c>
      <c r="K36" s="595">
        <f>Sum!L$371+(Sum!L$382*12)</f>
        <v>81.12</v>
      </c>
      <c r="L36" s="595">
        <f>Sum!M$371+(Sum!M$382*12)</f>
        <v>81.12</v>
      </c>
      <c r="M36" s="595">
        <f>Sum!N$371+(Sum!N$382*12)</f>
        <v>81.12</v>
      </c>
      <c r="N36" s="595">
        <f>Sum!O$371+(Sum!O$382*12)</f>
        <v>81.12</v>
      </c>
      <c r="O36" s="595">
        <f>Sum!P$371+(Sum!P$382*12)</f>
        <v>81.12</v>
      </c>
      <c r="P36" s="3"/>
      <c r="Q36" s="36">
        <f t="shared" si="6"/>
        <v>14.399999999999999</v>
      </c>
      <c r="R36" s="36">
        <f t="shared" si="6"/>
        <v>18.720000000000006</v>
      </c>
      <c r="T36" s="597">
        <f t="shared" si="7"/>
        <v>0.3</v>
      </c>
      <c r="U36" s="597">
        <f t="shared" si="7"/>
        <v>0.3000000000000001</v>
      </c>
    </row>
    <row r="37" spans="2:21" x14ac:dyDescent="0.25">
      <c r="C37" s="3"/>
      <c r="D37" s="37">
        <v>25000</v>
      </c>
      <c r="E37" s="595">
        <f>Sum!F$371+(Sum!F$382*22)</f>
        <v>78</v>
      </c>
      <c r="F37" s="595">
        <f>Sum!G$371+(Sum!G$382*22)</f>
        <v>101.4</v>
      </c>
      <c r="G37" s="595">
        <f>Sum!H$371+(Sum!H$382*22)</f>
        <v>131.82</v>
      </c>
      <c r="H37" s="595">
        <f>Sum!I$371+(Sum!I$382*22)</f>
        <v>131.82</v>
      </c>
      <c r="I37" s="595">
        <f>Sum!J$371+(Sum!J$382*22)</f>
        <v>131.82</v>
      </c>
      <c r="J37" s="595">
        <f>Sum!K$371+(Sum!K$382*22)</f>
        <v>131.82</v>
      </c>
      <c r="K37" s="595">
        <f>Sum!L$371+(Sum!L$382*22)</f>
        <v>131.82</v>
      </c>
      <c r="L37" s="595">
        <f>Sum!M$371+(Sum!M$382*22)</f>
        <v>131.82</v>
      </c>
      <c r="M37" s="595">
        <f>Sum!N$371+(Sum!N$382*22)</f>
        <v>131.82</v>
      </c>
      <c r="N37" s="595">
        <f>Sum!O$371+(Sum!O$382*22)</f>
        <v>131.82</v>
      </c>
      <c r="O37" s="595">
        <f>Sum!P$371+(Sum!P$382*22)</f>
        <v>131.82</v>
      </c>
      <c r="P37" s="3"/>
      <c r="Q37" s="36">
        <f t="shared" si="6"/>
        <v>23.400000000000006</v>
      </c>
      <c r="R37" s="36">
        <f t="shared" si="6"/>
        <v>30.419999999999987</v>
      </c>
      <c r="T37" s="597">
        <f t="shared" si="7"/>
        <v>0.3000000000000001</v>
      </c>
      <c r="U37" s="597">
        <f t="shared" si="7"/>
        <v>0.29999999999999988</v>
      </c>
    </row>
    <row r="38" spans="2:21" x14ac:dyDescent="0.25">
      <c r="C38" s="3"/>
      <c r="D38" s="37">
        <v>50000</v>
      </c>
      <c r="E38" s="595">
        <f>Sum!F$371+(Sum!F$382*47)</f>
        <v>153</v>
      </c>
      <c r="F38" s="595">
        <f>Sum!G$371+(Sum!G$382*47)</f>
        <v>198.89999999999998</v>
      </c>
      <c r="G38" s="595">
        <f>Sum!H$371+(Sum!H$382*47)</f>
        <v>258.57000000000005</v>
      </c>
      <c r="H38" s="595">
        <f>Sum!I$371+(Sum!I$382*47)</f>
        <v>258.57000000000005</v>
      </c>
      <c r="I38" s="595">
        <f>Sum!J$371+(Sum!J$382*47)</f>
        <v>258.57000000000005</v>
      </c>
      <c r="J38" s="595">
        <f>Sum!K$371+(Sum!K$382*47)</f>
        <v>258.57000000000005</v>
      </c>
      <c r="K38" s="595">
        <f>Sum!L$371+(Sum!L$382*47)</f>
        <v>258.57000000000005</v>
      </c>
      <c r="L38" s="595">
        <f>Sum!M$371+(Sum!M$382*47)</f>
        <v>258.57000000000005</v>
      </c>
      <c r="M38" s="595">
        <f>Sum!N$371+(Sum!N$382*47)</f>
        <v>258.57000000000005</v>
      </c>
      <c r="N38" s="595">
        <f>Sum!O$371+(Sum!O$382*47)</f>
        <v>258.57000000000005</v>
      </c>
      <c r="O38" s="595">
        <f>Sum!P$371+(Sum!P$382*47)</f>
        <v>258.57000000000005</v>
      </c>
      <c r="P38" s="3"/>
      <c r="Q38" s="36">
        <f t="shared" si="6"/>
        <v>45.899999999999977</v>
      </c>
      <c r="R38" s="36">
        <f t="shared" si="6"/>
        <v>59.670000000000073</v>
      </c>
      <c r="T38" s="597">
        <f t="shared" si="7"/>
        <v>0.29999999999999988</v>
      </c>
      <c r="U38" s="597">
        <f t="shared" si="7"/>
        <v>0.30000000000000038</v>
      </c>
    </row>
    <row r="39" spans="2:21" x14ac:dyDescent="0.25">
      <c r="C39" s="3"/>
      <c r="D39" s="37">
        <v>100000</v>
      </c>
      <c r="E39" s="595">
        <f>Sum!F$371+(Sum!F$382*97)</f>
        <v>303</v>
      </c>
      <c r="F39" s="595">
        <f>Sum!G$371+(Sum!G$382*97)</f>
        <v>393.90000000000003</v>
      </c>
      <c r="G39" s="595">
        <f>Sum!H$371+(Sum!H$382*97)</f>
        <v>512.07000000000005</v>
      </c>
      <c r="H39" s="595">
        <f>Sum!I$371+(Sum!I$382*97)</f>
        <v>512.07000000000005</v>
      </c>
      <c r="I39" s="595">
        <f>Sum!J$371+(Sum!J$382*97)</f>
        <v>512.07000000000005</v>
      </c>
      <c r="J39" s="595">
        <f>Sum!K$371+(Sum!K$382*97)</f>
        <v>512.07000000000005</v>
      </c>
      <c r="K39" s="595">
        <f>Sum!L$371+(Sum!L$382*97)</f>
        <v>512.07000000000005</v>
      </c>
      <c r="L39" s="595">
        <f>Sum!M$371+(Sum!M$382*97)</f>
        <v>512.07000000000005</v>
      </c>
      <c r="M39" s="595">
        <f>Sum!N$371+(Sum!N$382*97)</f>
        <v>512.07000000000005</v>
      </c>
      <c r="N39" s="595">
        <f>Sum!O$371+(Sum!O$382*97)</f>
        <v>512.07000000000005</v>
      </c>
      <c r="O39" s="595">
        <f>Sum!P$371+(Sum!P$382*97)</f>
        <v>512.07000000000005</v>
      </c>
      <c r="P39" s="3"/>
      <c r="Q39" s="36">
        <f t="shared" si="6"/>
        <v>90.900000000000034</v>
      </c>
      <c r="R39" s="36">
        <f t="shared" si="6"/>
        <v>118.17000000000002</v>
      </c>
      <c r="T39" s="597">
        <f t="shared" si="7"/>
        <v>0.3000000000000001</v>
      </c>
      <c r="U39" s="597">
        <f t="shared" si="7"/>
        <v>0.3</v>
      </c>
    </row>
    <row r="40" spans="2:21" x14ac:dyDescent="0.25">
      <c r="B40" s="3"/>
      <c r="C40" s="3"/>
      <c r="D40" s="37">
        <v>250000</v>
      </c>
      <c r="E40" s="595">
        <f>Sum!F$371+(Sum!F$382*247)</f>
        <v>753</v>
      </c>
      <c r="F40" s="595">
        <f>Sum!G$371+(Sum!G$382*247)</f>
        <v>978.9</v>
      </c>
      <c r="G40" s="595">
        <f>Sum!H$371+(Sum!H$382*247)</f>
        <v>1272.57</v>
      </c>
      <c r="H40" s="595">
        <f>Sum!I$371+(Sum!I$382*247)</f>
        <v>1272.57</v>
      </c>
      <c r="I40" s="595">
        <f>Sum!J$371+(Sum!J$382*247)</f>
        <v>1272.57</v>
      </c>
      <c r="J40" s="595">
        <f>Sum!K$371+(Sum!K$382*247)</f>
        <v>1272.57</v>
      </c>
      <c r="K40" s="595">
        <f>Sum!L$371+(Sum!L$382*247)</f>
        <v>1272.57</v>
      </c>
      <c r="L40" s="595">
        <f>Sum!M$371+(Sum!M$382*247)</f>
        <v>1272.57</v>
      </c>
      <c r="M40" s="595">
        <f>Sum!N$371+(Sum!N$382*247)</f>
        <v>1272.57</v>
      </c>
      <c r="N40" s="595">
        <f>Sum!O$371+(Sum!O$382*247)</f>
        <v>1272.57</v>
      </c>
      <c r="O40" s="595">
        <f>Sum!P$371+(Sum!P$382*247)</f>
        <v>1272.57</v>
      </c>
      <c r="P40" s="3"/>
      <c r="Q40" s="36">
        <f t="shared" si="6"/>
        <v>225.89999999999998</v>
      </c>
      <c r="R40" s="36">
        <f t="shared" si="6"/>
        <v>293.66999999999996</v>
      </c>
      <c r="T40" s="597">
        <f t="shared" si="7"/>
        <v>0.3</v>
      </c>
      <c r="U40" s="597">
        <f t="shared" si="7"/>
        <v>0.3</v>
      </c>
    </row>
    <row r="41" spans="2:21" x14ac:dyDescent="0.25">
      <c r="B41" s="3"/>
      <c r="C41" s="3"/>
      <c r="D41" s="37"/>
      <c r="E41" s="595"/>
      <c r="F41" s="595"/>
      <c r="G41" s="595"/>
      <c r="H41" s="595"/>
      <c r="I41" s="595"/>
      <c r="J41" s="595"/>
      <c r="K41" s="595"/>
      <c r="L41" s="595"/>
      <c r="M41" s="595"/>
      <c r="N41" s="595"/>
      <c r="O41" s="595"/>
      <c r="P41" s="3"/>
      <c r="Q41" s="36"/>
      <c r="R41" s="36"/>
      <c r="T41" s="597"/>
      <c r="U41" s="597"/>
    </row>
    <row r="42" spans="2:21" x14ac:dyDescent="0.25">
      <c r="B42" s="3"/>
      <c r="C42" s="3"/>
      <c r="D42" s="37"/>
      <c r="E42" s="595"/>
      <c r="F42" s="595"/>
      <c r="G42" s="595"/>
      <c r="H42" s="595"/>
      <c r="I42" s="595"/>
      <c r="J42" s="595"/>
      <c r="K42" s="595"/>
      <c r="L42" s="595"/>
      <c r="M42" s="595"/>
      <c r="N42" s="595"/>
      <c r="O42" s="595"/>
      <c r="P42" s="3"/>
      <c r="Q42" s="36"/>
      <c r="R42" s="36"/>
      <c r="T42" s="597"/>
      <c r="U42" s="597"/>
    </row>
    <row r="43" spans="2:21" x14ac:dyDescent="0.25">
      <c r="B43" s="29"/>
      <c r="C43" s="29"/>
      <c r="D43" s="29"/>
      <c r="E43" s="647" t="s">
        <v>311</v>
      </c>
      <c r="F43" s="647"/>
      <c r="G43" s="647"/>
      <c r="H43" s="647"/>
      <c r="I43" s="647"/>
      <c r="J43" s="647"/>
      <c r="K43" s="647"/>
      <c r="L43" s="647"/>
      <c r="M43" s="647"/>
      <c r="N43" s="647"/>
      <c r="O43" s="647"/>
      <c r="P43" s="29"/>
      <c r="Q43" s="647" t="s">
        <v>312</v>
      </c>
      <c r="R43" s="647"/>
      <c r="S43" s="139"/>
      <c r="T43" s="647" t="s">
        <v>318</v>
      </c>
      <c r="U43" s="647"/>
    </row>
    <row r="44" spans="2:21" x14ac:dyDescent="0.25">
      <c r="B44" s="593" t="s">
        <v>137</v>
      </c>
      <c r="C44" s="593" t="s">
        <v>313</v>
      </c>
      <c r="D44" s="593" t="s">
        <v>314</v>
      </c>
      <c r="E44" s="598">
        <f>E4</f>
        <v>2024</v>
      </c>
      <c r="F44" s="598">
        <f t="shared" ref="F44:H44" si="8">F4</f>
        <v>2025</v>
      </c>
      <c r="G44" s="598">
        <f t="shared" si="8"/>
        <v>2026</v>
      </c>
      <c r="H44" s="598">
        <f t="shared" si="8"/>
        <v>2027</v>
      </c>
      <c r="I44" s="598">
        <f t="shared" ref="I44:O44" si="9">I4</f>
        <v>2028</v>
      </c>
      <c r="J44" s="598">
        <f t="shared" si="9"/>
        <v>2029</v>
      </c>
      <c r="K44" s="598">
        <f t="shared" si="9"/>
        <v>2030</v>
      </c>
      <c r="L44" s="598">
        <f t="shared" si="9"/>
        <v>2031</v>
      </c>
      <c r="M44" s="598">
        <f t="shared" si="9"/>
        <v>2032</v>
      </c>
      <c r="N44" s="598">
        <f t="shared" si="9"/>
        <v>2033</v>
      </c>
      <c r="O44" s="598">
        <f t="shared" si="9"/>
        <v>2034</v>
      </c>
      <c r="P44" s="29"/>
      <c r="Q44" s="598" t="s">
        <v>372</v>
      </c>
      <c r="R44" s="598" t="s">
        <v>373</v>
      </c>
      <c r="S44" s="139"/>
      <c r="T44" s="598" t="s">
        <v>372</v>
      </c>
      <c r="U44" s="598" t="s">
        <v>373</v>
      </c>
    </row>
    <row r="45" spans="2:21" x14ac:dyDescent="0.25">
      <c r="B45" s="29" t="s">
        <v>317</v>
      </c>
      <c r="C45" s="3"/>
      <c r="D45" s="3"/>
      <c r="H45" s="13"/>
      <c r="I45" s="13"/>
      <c r="J45" s="13"/>
      <c r="K45" s="13"/>
      <c r="L45" s="13"/>
      <c r="M45" s="13"/>
      <c r="N45" s="13"/>
      <c r="O45" s="13"/>
      <c r="P45" s="3"/>
      <c r="Q45" s="3"/>
      <c r="R45" s="3"/>
      <c r="T45" s="234"/>
      <c r="U45" s="234"/>
    </row>
    <row r="46" spans="2:21" x14ac:dyDescent="0.25">
      <c r="B46" s="3"/>
      <c r="C46" s="3" t="s">
        <v>319</v>
      </c>
      <c r="D46" s="3"/>
      <c r="H46" s="13"/>
      <c r="I46" s="13"/>
      <c r="J46" s="13"/>
      <c r="K46" s="13"/>
      <c r="L46" s="13"/>
      <c r="M46" s="13"/>
      <c r="N46" s="13"/>
      <c r="O46" s="13"/>
      <c r="P46" s="3"/>
      <c r="Q46" s="3"/>
      <c r="R46" s="3"/>
      <c r="T46" s="234"/>
      <c r="U46" s="234"/>
    </row>
    <row r="47" spans="2:21" x14ac:dyDescent="0.25">
      <c r="B47" s="3"/>
      <c r="C47" s="3"/>
      <c r="D47" s="37">
        <v>2500</v>
      </c>
      <c r="E47" s="594">
        <f t="shared" ref="E47:H53" si="10">E8+E26</f>
        <v>16.5</v>
      </c>
      <c r="F47" s="594">
        <f t="shared" si="10"/>
        <v>23.475000000000001</v>
      </c>
      <c r="G47" s="594">
        <f t="shared" si="10"/>
        <v>28.942500000000003</v>
      </c>
      <c r="H47" s="594">
        <f t="shared" si="10"/>
        <v>29.202375000000004</v>
      </c>
      <c r="I47" s="594">
        <f t="shared" ref="I47:O47" si="11">I8+I26</f>
        <v>29.470046250000003</v>
      </c>
      <c r="J47" s="594">
        <f t="shared" si="11"/>
        <v>29.745747637500003</v>
      </c>
      <c r="K47" s="594">
        <f t="shared" si="11"/>
        <v>30.029720066625003</v>
      </c>
      <c r="L47" s="594">
        <f t="shared" si="11"/>
        <v>30.322211668623755</v>
      </c>
      <c r="M47" s="594">
        <f t="shared" si="11"/>
        <v>30.623478018682469</v>
      </c>
      <c r="N47" s="594">
        <f t="shared" si="11"/>
        <v>30.93378235924294</v>
      </c>
      <c r="O47" s="594">
        <f t="shared" si="11"/>
        <v>31.253395830020231</v>
      </c>
      <c r="P47" s="3"/>
      <c r="Q47" s="36">
        <f t="shared" ref="Q47:R53" si="12">F47-E47</f>
        <v>6.9750000000000014</v>
      </c>
      <c r="R47" s="36">
        <f t="shared" si="12"/>
        <v>5.4675000000000011</v>
      </c>
      <c r="T47" s="597">
        <f t="shared" ref="T47:U53" si="13">Q47/E47</f>
        <v>0.42272727272727284</v>
      </c>
      <c r="U47" s="597">
        <f t="shared" si="13"/>
        <v>0.23290734824281153</v>
      </c>
    </row>
    <row r="48" spans="2:21" x14ac:dyDescent="0.25">
      <c r="C48" s="3"/>
      <c r="D48" s="37">
        <v>5000</v>
      </c>
      <c r="E48" s="594">
        <f t="shared" si="10"/>
        <v>25.5</v>
      </c>
      <c r="F48" s="594">
        <f t="shared" si="10"/>
        <v>36.535000000000004</v>
      </c>
      <c r="G48" s="594">
        <f t="shared" si="10"/>
        <v>44.862500000000004</v>
      </c>
      <c r="H48" s="594">
        <f t="shared" si="10"/>
        <v>45.302375000000005</v>
      </c>
      <c r="I48" s="594">
        <f t="shared" ref="I48:O48" si="14">I9+I27</f>
        <v>45.750046250000004</v>
      </c>
      <c r="J48" s="594">
        <f t="shared" si="14"/>
        <v>46.205747637500004</v>
      </c>
      <c r="K48" s="594">
        <f t="shared" si="14"/>
        <v>46.669720066625004</v>
      </c>
      <c r="L48" s="594">
        <f t="shared" si="14"/>
        <v>47.162211668623755</v>
      </c>
      <c r="M48" s="594">
        <f t="shared" si="14"/>
        <v>47.663478018682468</v>
      </c>
      <c r="N48" s="594">
        <f t="shared" si="14"/>
        <v>48.173782359242942</v>
      </c>
      <c r="O48" s="594">
        <f t="shared" si="14"/>
        <v>48.713395830020232</v>
      </c>
      <c r="P48" s="3"/>
      <c r="Q48" s="36">
        <f t="shared" si="12"/>
        <v>11.035000000000004</v>
      </c>
      <c r="R48" s="36">
        <f t="shared" si="12"/>
        <v>8.3275000000000006</v>
      </c>
      <c r="T48" s="597">
        <f t="shared" si="13"/>
        <v>0.43274509803921585</v>
      </c>
      <c r="U48" s="597">
        <f t="shared" si="13"/>
        <v>0.22793211988504172</v>
      </c>
    </row>
    <row r="49" spans="2:21" x14ac:dyDescent="0.25">
      <c r="C49" s="3"/>
      <c r="D49" s="37">
        <v>7500</v>
      </c>
      <c r="E49" s="594">
        <f t="shared" si="10"/>
        <v>36.75</v>
      </c>
      <c r="F49" s="594">
        <f t="shared" si="10"/>
        <v>52.860000000000007</v>
      </c>
      <c r="G49" s="594">
        <f t="shared" si="10"/>
        <v>64.762500000000003</v>
      </c>
      <c r="H49" s="594">
        <f t="shared" si="10"/>
        <v>65.427374999999998</v>
      </c>
      <c r="I49" s="594">
        <f t="shared" ref="I49:O49" si="15">I10+I28</f>
        <v>66.100046250000005</v>
      </c>
      <c r="J49" s="594">
        <f t="shared" si="15"/>
        <v>66.780747637499999</v>
      </c>
      <c r="K49" s="594">
        <f t="shared" si="15"/>
        <v>67.469720066625001</v>
      </c>
      <c r="L49" s="594">
        <f t="shared" si="15"/>
        <v>68.212211668623752</v>
      </c>
      <c r="M49" s="594">
        <f t="shared" si="15"/>
        <v>68.963478018682466</v>
      </c>
      <c r="N49" s="594">
        <f t="shared" si="15"/>
        <v>69.723782359242932</v>
      </c>
      <c r="O49" s="594">
        <f t="shared" si="15"/>
        <v>70.538395830020221</v>
      </c>
      <c r="P49" s="3"/>
      <c r="Q49" s="36">
        <f t="shared" si="12"/>
        <v>16.110000000000007</v>
      </c>
      <c r="R49" s="36">
        <f t="shared" si="12"/>
        <v>11.902499999999996</v>
      </c>
      <c r="T49" s="597">
        <f t="shared" si="13"/>
        <v>0.43836734693877571</v>
      </c>
      <c r="U49" s="597">
        <f t="shared" si="13"/>
        <v>0.22517026106696925</v>
      </c>
    </row>
    <row r="50" spans="2:21" x14ac:dyDescent="0.25">
      <c r="C50" s="3"/>
      <c r="D50" s="37">
        <v>10000</v>
      </c>
      <c r="E50" s="594">
        <f t="shared" si="10"/>
        <v>48</v>
      </c>
      <c r="F50" s="594">
        <f t="shared" si="10"/>
        <v>69.185000000000002</v>
      </c>
      <c r="G50" s="594">
        <f t="shared" si="10"/>
        <v>84.662500000000009</v>
      </c>
      <c r="H50" s="594">
        <f t="shared" si="10"/>
        <v>85.552375000000012</v>
      </c>
      <c r="I50" s="594">
        <f t="shared" ref="I50:O50" si="16">I11+I29</f>
        <v>86.450046250000014</v>
      </c>
      <c r="J50" s="594">
        <f t="shared" si="16"/>
        <v>87.355747637500002</v>
      </c>
      <c r="K50" s="594">
        <f t="shared" si="16"/>
        <v>88.269720066625013</v>
      </c>
      <c r="L50" s="594">
        <f t="shared" si="16"/>
        <v>89.262211668623763</v>
      </c>
      <c r="M50" s="594">
        <f t="shared" si="16"/>
        <v>90.263478018682463</v>
      </c>
      <c r="N50" s="594">
        <f t="shared" si="16"/>
        <v>91.273782359242944</v>
      </c>
      <c r="O50" s="594">
        <f t="shared" si="16"/>
        <v>92.363395830020238</v>
      </c>
      <c r="P50" s="3"/>
      <c r="Q50" s="36">
        <f t="shared" si="12"/>
        <v>21.185000000000002</v>
      </c>
      <c r="R50" s="36">
        <f t="shared" si="12"/>
        <v>15.477500000000006</v>
      </c>
      <c r="T50" s="597">
        <f t="shared" si="13"/>
        <v>0.44135416666666671</v>
      </c>
      <c r="U50" s="597">
        <f t="shared" si="13"/>
        <v>0.22371178723711796</v>
      </c>
    </row>
    <row r="51" spans="2:21" x14ac:dyDescent="0.25">
      <c r="C51" s="3"/>
      <c r="D51" s="37">
        <v>12500</v>
      </c>
      <c r="E51" s="594">
        <f t="shared" si="10"/>
        <v>59.25</v>
      </c>
      <c r="F51" s="594">
        <f t="shared" si="10"/>
        <v>85.509999999999991</v>
      </c>
      <c r="G51" s="594">
        <f t="shared" si="10"/>
        <v>104.56250000000001</v>
      </c>
      <c r="H51" s="594">
        <f t="shared" si="10"/>
        <v>105.67737500000001</v>
      </c>
      <c r="I51" s="594">
        <f t="shared" ref="I51:O51" si="17">I12+I30</f>
        <v>106.80004625000001</v>
      </c>
      <c r="J51" s="594">
        <f t="shared" si="17"/>
        <v>107.93074763750002</v>
      </c>
      <c r="K51" s="594">
        <f t="shared" si="17"/>
        <v>109.06972006662501</v>
      </c>
      <c r="L51" s="594">
        <f t="shared" si="17"/>
        <v>110.31221166862376</v>
      </c>
      <c r="M51" s="594">
        <f t="shared" si="17"/>
        <v>111.56347801868247</v>
      </c>
      <c r="N51" s="594">
        <f t="shared" si="17"/>
        <v>112.82378235924295</v>
      </c>
      <c r="O51" s="594">
        <f t="shared" si="17"/>
        <v>114.18839583002024</v>
      </c>
      <c r="P51" s="3"/>
      <c r="Q51" s="36">
        <f t="shared" si="12"/>
        <v>26.259999999999991</v>
      </c>
      <c r="R51" s="36">
        <f t="shared" si="12"/>
        <v>19.052500000000023</v>
      </c>
      <c r="T51" s="597">
        <f t="shared" si="13"/>
        <v>0.44320675105485219</v>
      </c>
      <c r="U51" s="597">
        <f t="shared" si="13"/>
        <v>0.22281019763770349</v>
      </c>
    </row>
    <row r="52" spans="2:21" x14ac:dyDescent="0.25">
      <c r="C52" s="3"/>
      <c r="D52" s="37">
        <v>15000</v>
      </c>
      <c r="E52" s="594">
        <f t="shared" si="10"/>
        <v>70.5</v>
      </c>
      <c r="F52" s="594">
        <f t="shared" si="10"/>
        <v>101.83500000000001</v>
      </c>
      <c r="G52" s="594">
        <f t="shared" si="10"/>
        <v>124.46250000000001</v>
      </c>
      <c r="H52" s="594">
        <f t="shared" si="10"/>
        <v>125.80237500000001</v>
      </c>
      <c r="I52" s="594">
        <f t="shared" ref="I52:O52" si="18">I13+I31</f>
        <v>127.15004625</v>
      </c>
      <c r="J52" s="594">
        <f t="shared" si="18"/>
        <v>128.50574763750001</v>
      </c>
      <c r="K52" s="594">
        <f t="shared" si="18"/>
        <v>129.86972006662501</v>
      </c>
      <c r="L52" s="594">
        <f t="shared" si="18"/>
        <v>131.36221166862376</v>
      </c>
      <c r="M52" s="594">
        <f t="shared" si="18"/>
        <v>132.86347801868249</v>
      </c>
      <c r="N52" s="594">
        <f t="shared" si="18"/>
        <v>134.37378235924294</v>
      </c>
      <c r="O52" s="594">
        <f t="shared" si="18"/>
        <v>136.01339583002024</v>
      </c>
      <c r="P52" s="3"/>
      <c r="Q52" s="36">
        <f t="shared" si="12"/>
        <v>31.335000000000008</v>
      </c>
      <c r="R52" s="36">
        <f t="shared" si="12"/>
        <v>22.627499999999998</v>
      </c>
      <c r="T52" s="597">
        <f t="shared" si="13"/>
        <v>0.44446808510638308</v>
      </c>
      <c r="U52" s="597">
        <f t="shared" si="13"/>
        <v>0.22219767270584764</v>
      </c>
    </row>
    <row r="53" spans="2:21" x14ac:dyDescent="0.25">
      <c r="C53" s="3"/>
      <c r="D53" s="37">
        <v>20000</v>
      </c>
      <c r="E53" s="594">
        <f t="shared" si="10"/>
        <v>93</v>
      </c>
      <c r="F53" s="594">
        <f t="shared" si="10"/>
        <v>134.48500000000001</v>
      </c>
      <c r="G53" s="594">
        <f t="shared" si="10"/>
        <v>164.26249999999999</v>
      </c>
      <c r="H53" s="594">
        <f t="shared" si="10"/>
        <v>166.05237499999998</v>
      </c>
      <c r="I53" s="594">
        <f t="shared" ref="I53:O53" si="19">I14+I32</f>
        <v>167.85004624999999</v>
      </c>
      <c r="J53" s="594">
        <f t="shared" si="19"/>
        <v>169.65574763749999</v>
      </c>
      <c r="K53" s="594">
        <f t="shared" si="19"/>
        <v>171.469720066625</v>
      </c>
      <c r="L53" s="594">
        <f t="shared" si="19"/>
        <v>173.46221166862375</v>
      </c>
      <c r="M53" s="594">
        <f t="shared" si="19"/>
        <v>175.46347801868245</v>
      </c>
      <c r="N53" s="594">
        <f t="shared" si="19"/>
        <v>177.47378235924293</v>
      </c>
      <c r="O53" s="594">
        <f t="shared" si="19"/>
        <v>179.66339583002022</v>
      </c>
      <c r="P53" s="3"/>
      <c r="Q53" s="36">
        <f t="shared" si="12"/>
        <v>41.485000000000014</v>
      </c>
      <c r="R53" s="36">
        <f t="shared" si="12"/>
        <v>29.777499999999975</v>
      </c>
      <c r="T53" s="597">
        <f t="shared" si="13"/>
        <v>0.44607526881720444</v>
      </c>
      <c r="U53" s="597">
        <f t="shared" si="13"/>
        <v>0.22141874558500926</v>
      </c>
    </row>
    <row r="54" spans="2:21" x14ac:dyDescent="0.25">
      <c r="C54" s="3" t="s">
        <v>315</v>
      </c>
      <c r="D54" s="37"/>
      <c r="H54" s="13"/>
      <c r="I54" s="13"/>
      <c r="J54" s="13"/>
      <c r="K54" s="13"/>
      <c r="L54" s="13"/>
      <c r="M54" s="13"/>
      <c r="N54" s="13"/>
      <c r="O54" s="13"/>
      <c r="P54" s="3"/>
      <c r="Q54" s="36"/>
      <c r="R54" s="36"/>
      <c r="T54" s="597"/>
      <c r="U54" s="597"/>
    </row>
    <row r="55" spans="2:21" x14ac:dyDescent="0.25">
      <c r="C55" s="3"/>
      <c r="D55" s="37">
        <v>5000</v>
      </c>
      <c r="E55" s="594">
        <f t="shared" ref="E55:H61" si="20">E16+E34</f>
        <v>25.5</v>
      </c>
      <c r="F55" s="594">
        <f t="shared" si="20"/>
        <v>36.535000000000004</v>
      </c>
      <c r="G55" s="594">
        <f t="shared" si="20"/>
        <v>44.862500000000004</v>
      </c>
      <c r="H55" s="594">
        <f t="shared" si="20"/>
        <v>45.302375000000005</v>
      </c>
      <c r="I55" s="594">
        <f t="shared" ref="I55:O55" si="21">I16+I34</f>
        <v>45.750046250000004</v>
      </c>
      <c r="J55" s="594">
        <f t="shared" si="21"/>
        <v>46.205747637500004</v>
      </c>
      <c r="K55" s="594">
        <f t="shared" si="21"/>
        <v>46.669720066625004</v>
      </c>
      <c r="L55" s="594">
        <f t="shared" si="21"/>
        <v>47.162211668623755</v>
      </c>
      <c r="M55" s="594">
        <f t="shared" si="21"/>
        <v>47.663478018682468</v>
      </c>
      <c r="N55" s="594">
        <f t="shared" si="21"/>
        <v>48.173782359242942</v>
      </c>
      <c r="O55" s="594">
        <f t="shared" si="21"/>
        <v>48.713395830020232</v>
      </c>
      <c r="P55" s="3"/>
      <c r="Q55" s="36">
        <f t="shared" ref="Q55:R61" si="22">F55-E55</f>
        <v>11.035000000000004</v>
      </c>
      <c r="R55" s="36">
        <f t="shared" si="22"/>
        <v>8.3275000000000006</v>
      </c>
      <c r="T55" s="597">
        <f t="shared" ref="T55:U61" si="23">Q55/E55</f>
        <v>0.43274509803921585</v>
      </c>
      <c r="U55" s="597">
        <f t="shared" si="23"/>
        <v>0.22793211988504172</v>
      </c>
    </row>
    <row r="56" spans="2:21" x14ac:dyDescent="0.25">
      <c r="C56" s="3"/>
      <c r="D56" s="37">
        <v>10000</v>
      </c>
      <c r="E56" s="594">
        <f t="shared" si="20"/>
        <v>48</v>
      </c>
      <c r="F56" s="594">
        <f t="shared" si="20"/>
        <v>69.185000000000002</v>
      </c>
      <c r="G56" s="594">
        <f t="shared" si="20"/>
        <v>84.662500000000009</v>
      </c>
      <c r="H56" s="594">
        <f t="shared" si="20"/>
        <v>85.552375000000012</v>
      </c>
      <c r="I56" s="594">
        <f t="shared" ref="I56:O56" si="24">I17+I35</f>
        <v>86.450046250000014</v>
      </c>
      <c r="J56" s="594">
        <f t="shared" si="24"/>
        <v>87.355747637500002</v>
      </c>
      <c r="K56" s="594">
        <f t="shared" si="24"/>
        <v>88.269720066625013</v>
      </c>
      <c r="L56" s="594">
        <f t="shared" si="24"/>
        <v>89.262211668623763</v>
      </c>
      <c r="M56" s="594">
        <f t="shared" si="24"/>
        <v>90.263478018682463</v>
      </c>
      <c r="N56" s="594">
        <f t="shared" si="24"/>
        <v>91.273782359242944</v>
      </c>
      <c r="O56" s="594">
        <f t="shared" si="24"/>
        <v>92.363395830020238</v>
      </c>
      <c r="P56" s="3"/>
      <c r="Q56" s="36">
        <f t="shared" si="22"/>
        <v>21.185000000000002</v>
      </c>
      <c r="R56" s="36">
        <f t="shared" si="22"/>
        <v>15.477500000000006</v>
      </c>
      <c r="T56" s="597">
        <f t="shared" si="23"/>
        <v>0.44135416666666671</v>
      </c>
      <c r="U56" s="597">
        <f t="shared" si="23"/>
        <v>0.22371178723711796</v>
      </c>
    </row>
    <row r="57" spans="2:21" x14ac:dyDescent="0.25">
      <c r="C57" s="3"/>
      <c r="D57" s="37">
        <v>15000</v>
      </c>
      <c r="E57" s="594">
        <f t="shared" si="20"/>
        <v>70.5</v>
      </c>
      <c r="F57" s="594">
        <f t="shared" si="20"/>
        <v>101.83500000000001</v>
      </c>
      <c r="G57" s="594">
        <f t="shared" si="20"/>
        <v>124.46250000000001</v>
      </c>
      <c r="H57" s="594">
        <f t="shared" si="20"/>
        <v>125.80237500000001</v>
      </c>
      <c r="I57" s="594">
        <f t="shared" ref="I57:O57" si="25">I18+I36</f>
        <v>127.15004625</v>
      </c>
      <c r="J57" s="594">
        <f t="shared" si="25"/>
        <v>128.50574763750001</v>
      </c>
      <c r="K57" s="594">
        <f t="shared" si="25"/>
        <v>129.86972006662501</v>
      </c>
      <c r="L57" s="594">
        <f t="shared" si="25"/>
        <v>131.36221166862376</v>
      </c>
      <c r="M57" s="594">
        <f t="shared" si="25"/>
        <v>132.86347801868249</v>
      </c>
      <c r="N57" s="594">
        <f t="shared" si="25"/>
        <v>134.37378235924294</v>
      </c>
      <c r="O57" s="594">
        <f t="shared" si="25"/>
        <v>136.01339583002024</v>
      </c>
      <c r="P57" s="3"/>
      <c r="Q57" s="36">
        <f t="shared" si="22"/>
        <v>31.335000000000008</v>
      </c>
      <c r="R57" s="36">
        <f t="shared" si="22"/>
        <v>22.627499999999998</v>
      </c>
      <c r="T57" s="597">
        <f t="shared" si="23"/>
        <v>0.44446808510638308</v>
      </c>
      <c r="U57" s="597">
        <f t="shared" si="23"/>
        <v>0.22219767270584764</v>
      </c>
    </row>
    <row r="58" spans="2:21" x14ac:dyDescent="0.25">
      <c r="C58" s="3"/>
      <c r="D58" s="37">
        <v>25000</v>
      </c>
      <c r="E58" s="594">
        <f t="shared" si="20"/>
        <v>115.5</v>
      </c>
      <c r="F58" s="594">
        <f t="shared" si="20"/>
        <v>167.13499999999999</v>
      </c>
      <c r="G58" s="594">
        <f t="shared" si="20"/>
        <v>204.0625</v>
      </c>
      <c r="H58" s="594">
        <f t="shared" si="20"/>
        <v>206.30237499999998</v>
      </c>
      <c r="I58" s="594">
        <f t="shared" ref="I58:O58" si="26">I19+I37</f>
        <v>208.55004624999998</v>
      </c>
      <c r="J58" s="594">
        <f t="shared" si="26"/>
        <v>210.80574763750002</v>
      </c>
      <c r="K58" s="594">
        <f t="shared" si="26"/>
        <v>213.069720066625</v>
      </c>
      <c r="L58" s="594">
        <f t="shared" si="26"/>
        <v>215.56221166862375</v>
      </c>
      <c r="M58" s="594">
        <f t="shared" si="26"/>
        <v>218.06347801868247</v>
      </c>
      <c r="N58" s="594">
        <f t="shared" si="26"/>
        <v>220.57378235924293</v>
      </c>
      <c r="O58" s="594">
        <f t="shared" si="26"/>
        <v>223.31339583002023</v>
      </c>
      <c r="P58" s="3"/>
      <c r="Q58" s="36">
        <f t="shared" si="22"/>
        <v>51.634999999999991</v>
      </c>
      <c r="R58" s="36">
        <f t="shared" si="22"/>
        <v>36.927500000000009</v>
      </c>
      <c r="T58" s="597">
        <f t="shared" si="23"/>
        <v>0.44705627705627698</v>
      </c>
      <c r="U58" s="597">
        <f t="shared" si="23"/>
        <v>0.22094414694707878</v>
      </c>
    </row>
    <row r="59" spans="2:21" x14ac:dyDescent="0.25">
      <c r="C59" s="3"/>
      <c r="D59" s="37">
        <v>50000</v>
      </c>
      <c r="E59" s="594">
        <f t="shared" si="20"/>
        <v>228</v>
      </c>
      <c r="F59" s="594">
        <f t="shared" si="20"/>
        <v>330.38499999999999</v>
      </c>
      <c r="G59" s="594">
        <f t="shared" si="20"/>
        <v>403.06250000000006</v>
      </c>
      <c r="H59" s="594">
        <f t="shared" si="20"/>
        <v>407.55237500000004</v>
      </c>
      <c r="I59" s="594">
        <f t="shared" ref="I59:O59" si="27">I20+I38</f>
        <v>412.05004625000004</v>
      </c>
      <c r="J59" s="594">
        <f t="shared" si="27"/>
        <v>416.55574763750008</v>
      </c>
      <c r="K59" s="594">
        <f t="shared" si="27"/>
        <v>421.06972006662505</v>
      </c>
      <c r="L59" s="594">
        <f t="shared" si="27"/>
        <v>426.06221166862383</v>
      </c>
      <c r="M59" s="594">
        <f t="shared" si="27"/>
        <v>431.06347801868253</v>
      </c>
      <c r="N59" s="594">
        <f t="shared" si="27"/>
        <v>436.07378235924295</v>
      </c>
      <c r="O59" s="594">
        <f t="shared" si="27"/>
        <v>441.56339583002028</v>
      </c>
      <c r="P59" s="3"/>
      <c r="Q59" s="36">
        <f t="shared" si="22"/>
        <v>102.38499999999999</v>
      </c>
      <c r="R59" s="36">
        <f t="shared" si="22"/>
        <v>72.677500000000066</v>
      </c>
      <c r="T59" s="597">
        <f t="shared" si="23"/>
        <v>0.44905701754385963</v>
      </c>
      <c r="U59" s="597">
        <f t="shared" si="23"/>
        <v>0.2199782072430651</v>
      </c>
    </row>
    <row r="60" spans="2:21" x14ac:dyDescent="0.25">
      <c r="C60" s="3"/>
      <c r="D60" s="37">
        <v>100000</v>
      </c>
      <c r="E60" s="594">
        <f t="shared" si="20"/>
        <v>453</v>
      </c>
      <c r="F60" s="594">
        <f t="shared" si="20"/>
        <v>656.88499999999999</v>
      </c>
      <c r="G60" s="594">
        <f t="shared" si="20"/>
        <v>801.0625</v>
      </c>
      <c r="H60" s="594">
        <f t="shared" si="20"/>
        <v>810.05237499999998</v>
      </c>
      <c r="I60" s="594">
        <f t="shared" ref="I60:O60" si="28">I21+I39</f>
        <v>819.05004625000004</v>
      </c>
      <c r="J60" s="594">
        <f t="shared" si="28"/>
        <v>828.05574763750008</v>
      </c>
      <c r="K60" s="594">
        <f t="shared" si="28"/>
        <v>837.069720066625</v>
      </c>
      <c r="L60" s="594">
        <f t="shared" si="28"/>
        <v>847.06221166862383</v>
      </c>
      <c r="M60" s="594">
        <f t="shared" si="28"/>
        <v>857.06347801868253</v>
      </c>
      <c r="N60" s="594">
        <f t="shared" si="28"/>
        <v>867.07378235924295</v>
      </c>
      <c r="O60" s="594">
        <f t="shared" si="28"/>
        <v>878.06339583002034</v>
      </c>
      <c r="P60" s="3"/>
      <c r="Q60" s="36">
        <f t="shared" si="22"/>
        <v>203.88499999999999</v>
      </c>
      <c r="R60" s="36">
        <f t="shared" si="22"/>
        <v>144.17750000000001</v>
      </c>
      <c r="T60" s="597">
        <f t="shared" si="23"/>
        <v>0.45007726269315673</v>
      </c>
      <c r="U60" s="597">
        <f t="shared" si="23"/>
        <v>0.21948666813825862</v>
      </c>
    </row>
    <row r="61" spans="2:21" x14ac:dyDescent="0.25">
      <c r="B61" s="3"/>
      <c r="C61" s="3"/>
      <c r="D61" s="37">
        <v>250000</v>
      </c>
      <c r="E61" s="594">
        <f t="shared" si="20"/>
        <v>1128</v>
      </c>
      <c r="F61" s="594">
        <f t="shared" si="20"/>
        <v>1636.385</v>
      </c>
      <c r="G61" s="594">
        <f t="shared" si="20"/>
        <v>1995.0625</v>
      </c>
      <c r="H61" s="594">
        <f t="shared" si="20"/>
        <v>2017.5523749999998</v>
      </c>
      <c r="I61" s="594">
        <f t="shared" ref="I61:O61" si="29">I22+I40</f>
        <v>2040.0500462499999</v>
      </c>
      <c r="J61" s="594">
        <f t="shared" si="29"/>
        <v>2062.5557476374997</v>
      </c>
      <c r="K61" s="594">
        <f t="shared" si="29"/>
        <v>2085.069720066625</v>
      </c>
      <c r="L61" s="594">
        <f t="shared" si="29"/>
        <v>2110.0622116686236</v>
      </c>
      <c r="M61" s="594">
        <f t="shared" si="29"/>
        <v>2135.0634780186824</v>
      </c>
      <c r="N61" s="594">
        <f t="shared" si="29"/>
        <v>2160.0737823592426</v>
      </c>
      <c r="O61" s="594">
        <f t="shared" si="29"/>
        <v>2187.56339583002</v>
      </c>
      <c r="P61" s="3"/>
      <c r="Q61" s="36">
        <f t="shared" si="22"/>
        <v>508.38499999999999</v>
      </c>
      <c r="R61" s="36">
        <f t="shared" si="22"/>
        <v>358.67750000000001</v>
      </c>
      <c r="T61" s="597">
        <f t="shared" si="23"/>
        <v>0.4506959219858156</v>
      </c>
      <c r="U61" s="597">
        <f t="shared" si="23"/>
        <v>0.21918894392212102</v>
      </c>
    </row>
    <row r="62" spans="2:21" ht="13.8" thickBot="1" x14ac:dyDescent="0.3">
      <c r="B62" s="7"/>
      <c r="C62" s="7"/>
      <c r="D62" s="7"/>
      <c r="E62" s="596"/>
      <c r="F62" s="596"/>
      <c r="G62" s="596"/>
      <c r="H62" s="596"/>
      <c r="I62" s="596"/>
      <c r="J62" s="596"/>
      <c r="K62" s="596"/>
      <c r="L62" s="596"/>
      <c r="M62" s="596"/>
      <c r="N62" s="596"/>
      <c r="O62" s="596"/>
      <c r="P62" s="7"/>
      <c r="Q62" s="7"/>
      <c r="R62" s="7"/>
    </row>
  </sheetData>
  <mergeCells count="6">
    <mergeCell ref="Q3:R3"/>
    <mergeCell ref="T3:U3"/>
    <mergeCell ref="Q43:R43"/>
    <mergeCell ref="T43:U43"/>
    <mergeCell ref="E3:O3"/>
    <mergeCell ref="E43:O4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indexed="53"/>
    <pageSetUpPr fitToPage="1"/>
  </sheetPr>
  <dimension ref="A1:P661"/>
  <sheetViews>
    <sheetView zoomScaleNormal="100" workbookViewId="0">
      <selection activeCell="A313" sqref="A313"/>
    </sheetView>
  </sheetViews>
  <sheetFormatPr defaultColWidth="9.109375" defaultRowHeight="12.75" customHeight="1" x14ac:dyDescent="0.25"/>
  <cols>
    <col min="1" max="1" width="11.6640625" style="74" customWidth="1"/>
    <col min="2" max="2" width="10.6640625" style="3" customWidth="1"/>
    <col min="3" max="3" width="17.5546875" style="3" bestFit="1" customWidth="1"/>
    <col min="4" max="4" width="10.6640625" style="3" customWidth="1"/>
    <col min="5" max="16" width="12.6640625" style="3" customWidth="1"/>
    <col min="17" max="16384" width="9.109375" style="3"/>
  </cols>
  <sheetData>
    <row r="1" spans="1:16" ht="12.75" customHeight="1" x14ac:dyDescent="0.25">
      <c r="A1" s="29" t="s">
        <v>243</v>
      </c>
      <c r="B1" s="29"/>
      <c r="C1" s="29"/>
      <c r="D1" s="29"/>
      <c r="J1" s="63"/>
      <c r="K1" s="63"/>
    </row>
    <row r="2" spans="1:16" ht="12.75" customHeight="1" x14ac:dyDescent="0.25">
      <c r="A2" s="29" t="s">
        <v>162</v>
      </c>
      <c r="B2" s="29"/>
      <c r="C2" s="29"/>
      <c r="D2" s="29"/>
      <c r="I2" s="4"/>
      <c r="J2" s="4"/>
      <c r="K2" s="4"/>
    </row>
    <row r="3" spans="1:16" ht="12.75" customHeight="1" x14ac:dyDescent="0.25">
      <c r="A3" s="29" t="s">
        <v>55</v>
      </c>
      <c r="B3" s="29"/>
      <c r="C3" s="29"/>
      <c r="D3" s="29"/>
      <c r="I3" s="4"/>
      <c r="J3" s="4"/>
      <c r="K3" s="4"/>
    </row>
    <row r="4" spans="1:16" ht="12.75" customHeight="1" thickBot="1" x14ac:dyDescent="0.3">
      <c r="A4" s="78" t="s">
        <v>428</v>
      </c>
      <c r="B4" s="21"/>
      <c r="C4" s="44"/>
      <c r="D4" s="44"/>
      <c r="E4" s="7"/>
      <c r="F4" s="7"/>
      <c r="G4" s="7"/>
      <c r="H4" s="7"/>
      <c r="I4" s="7"/>
      <c r="J4" s="7"/>
    </row>
    <row r="5" spans="1:16" ht="12.75" customHeight="1" x14ac:dyDescent="0.25">
      <c r="A5" s="646" t="s">
        <v>215</v>
      </c>
      <c r="B5" s="646"/>
      <c r="C5" s="646"/>
      <c r="D5" s="646"/>
      <c r="E5" s="215">
        <f>Sum!E$5</f>
        <v>2023</v>
      </c>
      <c r="F5" s="215">
        <f>Sum!F$5</f>
        <v>2024</v>
      </c>
      <c r="G5" s="216">
        <f>Sum!G$5</f>
        <v>2025</v>
      </c>
      <c r="H5" s="215">
        <f>Sum!H$5</f>
        <v>2026</v>
      </c>
      <c r="I5" s="215">
        <f>Sum!I$5</f>
        <v>2027</v>
      </c>
      <c r="J5" s="215">
        <f>Sum!J$5</f>
        <v>2028</v>
      </c>
      <c r="K5" s="281">
        <f>Sum!K$5</f>
        <v>2029</v>
      </c>
      <c r="L5" s="281">
        <f>Sum!L$5</f>
        <v>2030</v>
      </c>
      <c r="M5" s="281">
        <f>Sum!M$5</f>
        <v>2031</v>
      </c>
      <c r="N5" s="281">
        <f>Sum!N$5</f>
        <v>2032</v>
      </c>
      <c r="O5" s="281">
        <f>Sum!O$5</f>
        <v>2033</v>
      </c>
      <c r="P5" s="281">
        <f>Sum!P$5</f>
        <v>2034</v>
      </c>
    </row>
    <row r="6" spans="1:16" ht="12.75" customHeight="1" x14ac:dyDescent="0.25">
      <c r="G6" s="151"/>
    </row>
    <row r="7" spans="1:16" ht="12.75" customHeight="1" x14ac:dyDescent="0.25">
      <c r="A7" s="29" t="s">
        <v>36</v>
      </c>
      <c r="B7" s="29"/>
      <c r="C7" s="29"/>
      <c r="D7" s="29"/>
      <c r="E7" s="48"/>
      <c r="F7" s="48"/>
      <c r="G7" s="181"/>
      <c r="H7" s="48"/>
      <c r="I7" s="48"/>
      <c r="J7" s="48"/>
      <c r="K7" s="48"/>
      <c r="L7" s="48"/>
      <c r="M7" s="48"/>
      <c r="N7" s="48"/>
      <c r="O7" s="48"/>
      <c r="P7" s="48"/>
    </row>
    <row r="8" spans="1:16" ht="12.75" customHeight="1" x14ac:dyDescent="0.25">
      <c r="A8" s="29" t="s">
        <v>191</v>
      </c>
      <c r="B8" s="29"/>
      <c r="C8" s="29"/>
      <c r="D8" s="29"/>
      <c r="E8" s="48"/>
      <c r="F8" s="48"/>
      <c r="G8" s="181"/>
      <c r="H8" s="48"/>
      <c r="I8" s="48"/>
      <c r="J8" s="48"/>
      <c r="K8" s="48"/>
      <c r="L8" s="48"/>
      <c r="M8" s="48"/>
      <c r="N8" s="48"/>
      <c r="O8" s="48"/>
      <c r="P8" s="48"/>
    </row>
    <row r="9" spans="1:16" ht="12.75" customHeight="1" x14ac:dyDescent="0.25">
      <c r="B9" s="80" t="s">
        <v>223</v>
      </c>
      <c r="E9" s="607">
        <f>'Customer Data'!P5</f>
        <v>5701.5</v>
      </c>
      <c r="F9" s="25">
        <f t="shared" ref="F9:P9" si="0">E9*(1+F98)</f>
        <v>5701.5</v>
      </c>
      <c r="G9" s="182">
        <f t="shared" si="0"/>
        <v>5701.5</v>
      </c>
      <c r="H9" s="25">
        <f t="shared" si="0"/>
        <v>5701.5</v>
      </c>
      <c r="I9" s="25">
        <f t="shared" si="0"/>
        <v>5701.5</v>
      </c>
      <c r="J9" s="25">
        <f t="shared" si="0"/>
        <v>5701.5</v>
      </c>
      <c r="K9" s="25">
        <f t="shared" si="0"/>
        <v>5701.5</v>
      </c>
      <c r="L9" s="25">
        <f t="shared" si="0"/>
        <v>5701.5</v>
      </c>
      <c r="M9" s="25">
        <f t="shared" si="0"/>
        <v>5701.5</v>
      </c>
      <c r="N9" s="25">
        <f t="shared" si="0"/>
        <v>5701.5</v>
      </c>
      <c r="O9" s="25">
        <f t="shared" si="0"/>
        <v>5701.5</v>
      </c>
      <c r="P9" s="25">
        <f t="shared" si="0"/>
        <v>5701.5</v>
      </c>
    </row>
    <row r="10" spans="1:16" ht="12.75" customHeight="1" x14ac:dyDescent="0.25">
      <c r="B10" s="80" t="s">
        <v>320</v>
      </c>
      <c r="E10" s="607">
        <f>'Customer Data'!P7</f>
        <v>1391</v>
      </c>
      <c r="F10" s="25">
        <f t="shared" ref="F10:P10" si="1">E10*(1+F99)</f>
        <v>1391</v>
      </c>
      <c r="G10" s="182">
        <f t="shared" si="1"/>
        <v>1391</v>
      </c>
      <c r="H10" s="25">
        <f t="shared" si="1"/>
        <v>1391</v>
      </c>
      <c r="I10" s="25">
        <f t="shared" si="1"/>
        <v>1391</v>
      </c>
      <c r="J10" s="25">
        <f t="shared" si="1"/>
        <v>1391</v>
      </c>
      <c r="K10" s="25">
        <f t="shared" si="1"/>
        <v>1391</v>
      </c>
      <c r="L10" s="25">
        <f t="shared" si="1"/>
        <v>1391</v>
      </c>
      <c r="M10" s="25">
        <f t="shared" si="1"/>
        <v>1391</v>
      </c>
      <c r="N10" s="25">
        <f t="shared" si="1"/>
        <v>1391</v>
      </c>
      <c r="O10" s="25">
        <f t="shared" si="1"/>
        <v>1391</v>
      </c>
      <c r="P10" s="25">
        <f t="shared" si="1"/>
        <v>1391</v>
      </c>
    </row>
    <row r="11" spans="1:16" ht="12.75" customHeight="1" x14ac:dyDescent="0.25">
      <c r="B11" s="80" t="s">
        <v>298</v>
      </c>
      <c r="E11" s="607">
        <v>0</v>
      </c>
      <c r="F11" s="25">
        <f t="shared" ref="F11:P11" si="2">E11*(1+F100)</f>
        <v>0</v>
      </c>
      <c r="G11" s="182">
        <f t="shared" si="2"/>
        <v>0</v>
      </c>
      <c r="H11" s="25">
        <f t="shared" si="2"/>
        <v>0</v>
      </c>
      <c r="I11" s="25">
        <f t="shared" si="2"/>
        <v>0</v>
      </c>
      <c r="J11" s="25">
        <f t="shared" si="2"/>
        <v>0</v>
      </c>
      <c r="K11" s="25">
        <f t="shared" si="2"/>
        <v>0</v>
      </c>
      <c r="L11" s="25">
        <f t="shared" si="2"/>
        <v>0</v>
      </c>
      <c r="M11" s="25">
        <f t="shared" si="2"/>
        <v>0</v>
      </c>
      <c r="N11" s="25">
        <f t="shared" si="2"/>
        <v>0</v>
      </c>
      <c r="O11" s="25">
        <f t="shared" si="2"/>
        <v>0</v>
      </c>
      <c r="P11" s="25">
        <f t="shared" si="2"/>
        <v>0</v>
      </c>
    </row>
    <row r="12" spans="1:16" ht="12.75" customHeight="1" x14ac:dyDescent="0.25">
      <c r="B12" s="22" t="s">
        <v>298</v>
      </c>
      <c r="C12" s="22"/>
      <c r="D12" s="22"/>
      <c r="E12" s="608">
        <v>0</v>
      </c>
      <c r="F12" s="47">
        <f t="shared" ref="F12:P12" si="3">E12*(1+F101)</f>
        <v>0</v>
      </c>
      <c r="G12" s="183">
        <f t="shared" si="3"/>
        <v>0</v>
      </c>
      <c r="H12" s="47">
        <f t="shared" si="3"/>
        <v>0</v>
      </c>
      <c r="I12" s="47">
        <f t="shared" si="3"/>
        <v>0</v>
      </c>
      <c r="J12" s="47">
        <f t="shared" si="3"/>
        <v>0</v>
      </c>
      <c r="K12" s="47">
        <f t="shared" si="3"/>
        <v>0</v>
      </c>
      <c r="L12" s="47">
        <f t="shared" si="3"/>
        <v>0</v>
      </c>
      <c r="M12" s="47">
        <f t="shared" si="3"/>
        <v>0</v>
      </c>
      <c r="N12" s="47">
        <f t="shared" si="3"/>
        <v>0</v>
      </c>
      <c r="O12" s="47">
        <f t="shared" si="3"/>
        <v>0</v>
      </c>
      <c r="P12" s="47">
        <f t="shared" si="3"/>
        <v>0</v>
      </c>
    </row>
    <row r="13" spans="1:16" ht="12.75" customHeight="1" x14ac:dyDescent="0.25">
      <c r="B13" s="3" t="s">
        <v>219</v>
      </c>
      <c r="E13" s="25">
        <f>SUM(E9:E12)</f>
        <v>7092.5</v>
      </c>
      <c r="F13" s="25">
        <f t="shared" ref="F13:I13" si="4">SUM(F9:F12)</f>
        <v>7092.5</v>
      </c>
      <c r="G13" s="182">
        <f t="shared" si="4"/>
        <v>7092.5</v>
      </c>
      <c r="H13" s="25">
        <f t="shared" si="4"/>
        <v>7092.5</v>
      </c>
      <c r="I13" s="25">
        <f t="shared" si="4"/>
        <v>7092.5</v>
      </c>
      <c r="J13" s="25">
        <f t="shared" ref="J13:P13" si="5">SUM(J9:J12)</f>
        <v>7092.5</v>
      </c>
      <c r="K13" s="25">
        <f t="shared" si="5"/>
        <v>7092.5</v>
      </c>
      <c r="L13" s="25">
        <f t="shared" si="5"/>
        <v>7092.5</v>
      </c>
      <c r="M13" s="25">
        <f t="shared" si="5"/>
        <v>7092.5</v>
      </c>
      <c r="N13" s="25">
        <f t="shared" si="5"/>
        <v>7092.5</v>
      </c>
      <c r="O13" s="25">
        <f t="shared" si="5"/>
        <v>7092.5</v>
      </c>
      <c r="P13" s="25">
        <f t="shared" si="5"/>
        <v>7092.5</v>
      </c>
    </row>
    <row r="14" spans="1:16" ht="12.75" customHeight="1" x14ac:dyDescent="0.25">
      <c r="E14" s="25"/>
      <c r="F14" s="25"/>
      <c r="G14" s="182"/>
      <c r="H14" s="25"/>
      <c r="I14" s="25"/>
      <c r="J14" s="25"/>
      <c r="K14" s="25"/>
      <c r="L14" s="25"/>
      <c r="M14" s="25"/>
      <c r="N14" s="25"/>
      <c r="O14" s="25"/>
      <c r="P14" s="25"/>
    </row>
    <row r="15" spans="1:16" ht="12.75" customHeight="1" x14ac:dyDescent="0.25">
      <c r="A15" s="29" t="s">
        <v>111</v>
      </c>
      <c r="E15" s="25"/>
      <c r="F15" s="25"/>
      <c r="G15" s="182"/>
      <c r="H15" s="25"/>
      <c r="I15" s="25"/>
      <c r="J15" s="25"/>
      <c r="K15" s="25"/>
      <c r="L15" s="25"/>
      <c r="M15" s="25"/>
      <c r="N15" s="25"/>
      <c r="O15" s="25"/>
      <c r="P15" s="25"/>
    </row>
    <row r="16" spans="1:16" ht="12.75" customHeight="1" x14ac:dyDescent="0.25">
      <c r="B16" s="80" t="s">
        <v>223</v>
      </c>
      <c r="E16" s="607">
        <f>'Customer Data'!P6</f>
        <v>285.75</v>
      </c>
      <c r="F16" s="25">
        <f t="shared" ref="F16:P16" si="6">E16*(1+F103)</f>
        <v>285.75</v>
      </c>
      <c r="G16" s="182">
        <f t="shared" si="6"/>
        <v>285.75</v>
      </c>
      <c r="H16" s="25">
        <f t="shared" si="6"/>
        <v>285.75</v>
      </c>
      <c r="I16" s="25">
        <f t="shared" si="6"/>
        <v>285.75</v>
      </c>
      <c r="J16" s="25">
        <f t="shared" si="6"/>
        <v>285.75</v>
      </c>
      <c r="K16" s="25">
        <f t="shared" si="6"/>
        <v>285.75</v>
      </c>
      <c r="L16" s="25">
        <f t="shared" si="6"/>
        <v>285.75</v>
      </c>
      <c r="M16" s="25">
        <f t="shared" si="6"/>
        <v>285.75</v>
      </c>
      <c r="N16" s="25">
        <f t="shared" si="6"/>
        <v>285.75</v>
      </c>
      <c r="O16" s="25">
        <f t="shared" si="6"/>
        <v>285.75</v>
      </c>
      <c r="P16" s="25">
        <f t="shared" si="6"/>
        <v>285.75</v>
      </c>
    </row>
    <row r="17" spans="1:16" ht="12.75" customHeight="1" x14ac:dyDescent="0.25">
      <c r="B17" s="80" t="s">
        <v>320</v>
      </c>
      <c r="E17" s="607">
        <f>'Customer Data'!P8</f>
        <v>6</v>
      </c>
      <c r="F17" s="25">
        <f t="shared" ref="F17:P17" si="7">E17*(1+F104)</f>
        <v>6</v>
      </c>
      <c r="G17" s="182">
        <f t="shared" si="7"/>
        <v>6</v>
      </c>
      <c r="H17" s="25">
        <f t="shared" si="7"/>
        <v>6</v>
      </c>
      <c r="I17" s="25">
        <f t="shared" si="7"/>
        <v>6</v>
      </c>
      <c r="J17" s="25">
        <f t="shared" si="7"/>
        <v>6</v>
      </c>
      <c r="K17" s="25">
        <f t="shared" si="7"/>
        <v>6</v>
      </c>
      <c r="L17" s="25">
        <f t="shared" si="7"/>
        <v>6</v>
      </c>
      <c r="M17" s="25">
        <f t="shared" si="7"/>
        <v>6</v>
      </c>
      <c r="N17" s="25">
        <f t="shared" si="7"/>
        <v>6</v>
      </c>
      <c r="O17" s="25">
        <f t="shared" si="7"/>
        <v>6</v>
      </c>
      <c r="P17" s="25">
        <f t="shared" si="7"/>
        <v>6</v>
      </c>
    </row>
    <row r="18" spans="1:16" ht="12.75" customHeight="1" x14ac:dyDescent="0.25">
      <c r="B18" s="80" t="s">
        <v>299</v>
      </c>
      <c r="E18" s="607">
        <v>0</v>
      </c>
      <c r="F18" s="25">
        <f t="shared" ref="F18:P18" si="8">E18*(1+F105)</f>
        <v>0</v>
      </c>
      <c r="G18" s="182">
        <f t="shared" si="8"/>
        <v>0</v>
      </c>
      <c r="H18" s="25">
        <f t="shared" si="8"/>
        <v>0</v>
      </c>
      <c r="I18" s="25">
        <f t="shared" si="8"/>
        <v>0</v>
      </c>
      <c r="J18" s="25">
        <f t="shared" si="8"/>
        <v>0</v>
      </c>
      <c r="K18" s="25">
        <f t="shared" si="8"/>
        <v>0</v>
      </c>
      <c r="L18" s="25">
        <f t="shared" si="8"/>
        <v>0</v>
      </c>
      <c r="M18" s="25">
        <f t="shared" si="8"/>
        <v>0</v>
      </c>
      <c r="N18" s="25">
        <f t="shared" si="8"/>
        <v>0</v>
      </c>
      <c r="O18" s="25">
        <f t="shared" si="8"/>
        <v>0</v>
      </c>
      <c r="P18" s="25">
        <f t="shared" si="8"/>
        <v>0</v>
      </c>
    </row>
    <row r="19" spans="1:16" ht="12.75" customHeight="1" x14ac:dyDescent="0.25">
      <c r="B19" s="22" t="s">
        <v>299</v>
      </c>
      <c r="E19" s="607">
        <v>0</v>
      </c>
      <c r="F19" s="25">
        <f t="shared" ref="F19:P19" si="9">E19*(1+F106)</f>
        <v>0</v>
      </c>
      <c r="G19" s="182">
        <f t="shared" si="9"/>
        <v>0</v>
      </c>
      <c r="H19" s="25">
        <f t="shared" si="9"/>
        <v>0</v>
      </c>
      <c r="I19" s="25">
        <f t="shared" si="9"/>
        <v>0</v>
      </c>
      <c r="J19" s="25">
        <f t="shared" si="9"/>
        <v>0</v>
      </c>
      <c r="K19" s="25">
        <f t="shared" si="9"/>
        <v>0</v>
      </c>
      <c r="L19" s="25">
        <f t="shared" si="9"/>
        <v>0</v>
      </c>
      <c r="M19" s="25">
        <f t="shared" si="9"/>
        <v>0</v>
      </c>
      <c r="N19" s="25">
        <f t="shared" si="9"/>
        <v>0</v>
      </c>
      <c r="O19" s="25">
        <f t="shared" si="9"/>
        <v>0</v>
      </c>
      <c r="P19" s="25">
        <f t="shared" si="9"/>
        <v>0</v>
      </c>
    </row>
    <row r="20" spans="1:16" ht="12.75" customHeight="1" x14ac:dyDescent="0.25">
      <c r="B20" s="3" t="s">
        <v>219</v>
      </c>
      <c r="C20" s="218"/>
      <c r="D20" s="218"/>
      <c r="E20" s="150">
        <f>SUM(E16:E19)</f>
        <v>291.75</v>
      </c>
      <c r="F20" s="150">
        <f t="shared" ref="F20:I20" si="10">SUM(F16:F19)</f>
        <v>291.75</v>
      </c>
      <c r="G20" s="184">
        <f t="shared" si="10"/>
        <v>291.75</v>
      </c>
      <c r="H20" s="150">
        <f t="shared" si="10"/>
        <v>291.75</v>
      </c>
      <c r="I20" s="150">
        <f t="shared" si="10"/>
        <v>291.75</v>
      </c>
      <c r="J20" s="150">
        <f t="shared" ref="J20:P20" si="11">SUM(J16:J19)</f>
        <v>291.75</v>
      </c>
      <c r="K20" s="150">
        <f t="shared" si="11"/>
        <v>291.75</v>
      </c>
      <c r="L20" s="150">
        <f t="shared" si="11"/>
        <v>291.75</v>
      </c>
      <c r="M20" s="150">
        <f t="shared" si="11"/>
        <v>291.75</v>
      </c>
      <c r="N20" s="150">
        <f t="shared" si="11"/>
        <v>291.75</v>
      </c>
      <c r="O20" s="150">
        <f t="shared" si="11"/>
        <v>291.75</v>
      </c>
      <c r="P20" s="150">
        <f t="shared" si="11"/>
        <v>291.75</v>
      </c>
    </row>
    <row r="21" spans="1:16" ht="12.75" customHeight="1" x14ac:dyDescent="0.25">
      <c r="E21" s="25"/>
      <c r="F21" s="25"/>
      <c r="G21" s="182"/>
      <c r="H21" s="25"/>
      <c r="I21" s="25"/>
      <c r="J21" s="25"/>
      <c r="K21" s="25"/>
      <c r="L21" s="25"/>
      <c r="M21" s="25"/>
      <c r="N21" s="25"/>
      <c r="O21" s="25"/>
      <c r="P21" s="25"/>
    </row>
    <row r="22" spans="1:16" ht="12.75" customHeight="1" x14ac:dyDescent="0.25">
      <c r="A22" s="72" t="s">
        <v>106</v>
      </c>
      <c r="E22" s="25"/>
      <c r="F22" s="25"/>
      <c r="G22" s="182"/>
      <c r="H22" s="25"/>
      <c r="I22" s="25"/>
      <c r="J22" s="25"/>
      <c r="K22" s="25"/>
      <c r="L22" s="25"/>
      <c r="M22" s="25"/>
      <c r="N22" s="25"/>
      <c r="O22" s="25"/>
      <c r="P22" s="25"/>
    </row>
    <row r="23" spans="1:16" ht="12.75" customHeight="1" x14ac:dyDescent="0.25">
      <c r="B23" s="22" t="s">
        <v>86</v>
      </c>
      <c r="C23" s="22"/>
      <c r="D23" s="22"/>
      <c r="E23" s="47">
        <v>0</v>
      </c>
      <c r="F23" s="47">
        <f t="shared" ref="F23:P23" si="12">E23*(1+F108)</f>
        <v>0</v>
      </c>
      <c r="G23" s="183">
        <f t="shared" si="12"/>
        <v>0</v>
      </c>
      <c r="H23" s="47">
        <f t="shared" si="12"/>
        <v>0</v>
      </c>
      <c r="I23" s="47">
        <f t="shared" si="12"/>
        <v>0</v>
      </c>
      <c r="J23" s="47">
        <f t="shared" si="12"/>
        <v>0</v>
      </c>
      <c r="K23" s="47">
        <f t="shared" si="12"/>
        <v>0</v>
      </c>
      <c r="L23" s="47">
        <f t="shared" si="12"/>
        <v>0</v>
      </c>
      <c r="M23" s="47">
        <f t="shared" si="12"/>
        <v>0</v>
      </c>
      <c r="N23" s="47">
        <f t="shared" si="12"/>
        <v>0</v>
      </c>
      <c r="O23" s="47">
        <f t="shared" si="12"/>
        <v>0</v>
      </c>
      <c r="P23" s="47">
        <f t="shared" si="12"/>
        <v>0</v>
      </c>
    </row>
    <row r="24" spans="1:16" ht="12.75" customHeight="1" x14ac:dyDescent="0.25">
      <c r="B24" s="3" t="s">
        <v>219</v>
      </c>
      <c r="E24" s="25">
        <f t="shared" ref="E24:I24" si="13">SUM(E23:E23)</f>
        <v>0</v>
      </c>
      <c r="F24" s="25">
        <f t="shared" si="13"/>
        <v>0</v>
      </c>
      <c r="G24" s="182">
        <f t="shared" si="13"/>
        <v>0</v>
      </c>
      <c r="H24" s="25">
        <f t="shared" si="13"/>
        <v>0</v>
      </c>
      <c r="I24" s="25">
        <f t="shared" si="13"/>
        <v>0</v>
      </c>
      <c r="J24" s="25">
        <f t="shared" ref="J24:P24" si="14">SUM(J23:J23)</f>
        <v>0</v>
      </c>
      <c r="K24" s="25">
        <f t="shared" si="14"/>
        <v>0</v>
      </c>
      <c r="L24" s="25">
        <f t="shared" si="14"/>
        <v>0</v>
      </c>
      <c r="M24" s="25">
        <f t="shared" si="14"/>
        <v>0</v>
      </c>
      <c r="N24" s="25">
        <f t="shared" si="14"/>
        <v>0</v>
      </c>
      <c r="O24" s="25">
        <f t="shared" si="14"/>
        <v>0</v>
      </c>
      <c r="P24" s="25">
        <f t="shared" si="14"/>
        <v>0</v>
      </c>
    </row>
    <row r="25" spans="1:16" ht="12.75" customHeight="1" thickBot="1" x14ac:dyDescent="0.3">
      <c r="B25" s="32"/>
      <c r="C25" s="32"/>
      <c r="D25" s="32"/>
      <c r="E25" s="57"/>
      <c r="F25" s="57"/>
      <c r="G25" s="192"/>
      <c r="H25" s="57"/>
      <c r="I25" s="57"/>
      <c r="J25" s="57"/>
      <c r="K25" s="57"/>
      <c r="L25" s="57"/>
      <c r="M25" s="57"/>
      <c r="N25" s="57"/>
      <c r="O25" s="57"/>
      <c r="P25" s="57"/>
    </row>
    <row r="26" spans="1:16" ht="12.75" customHeight="1" thickTop="1" x14ac:dyDescent="0.25">
      <c r="B26" s="29" t="s">
        <v>35</v>
      </c>
      <c r="C26" s="29"/>
      <c r="D26" s="29"/>
      <c r="E26" s="373">
        <f t="shared" ref="E26:I26" si="15">E13+E20+E24</f>
        <v>7384.25</v>
      </c>
      <c r="F26" s="373">
        <f t="shared" si="15"/>
        <v>7384.25</v>
      </c>
      <c r="G26" s="374">
        <f t="shared" si="15"/>
        <v>7384.25</v>
      </c>
      <c r="H26" s="373">
        <f t="shared" si="15"/>
        <v>7384.25</v>
      </c>
      <c r="I26" s="373">
        <f t="shared" si="15"/>
        <v>7384.25</v>
      </c>
      <c r="J26" s="373">
        <f t="shared" ref="J26:P26" si="16">J13+J20+J24</f>
        <v>7384.25</v>
      </c>
      <c r="K26" s="373">
        <f t="shared" si="16"/>
        <v>7384.25</v>
      </c>
      <c r="L26" s="373">
        <f t="shared" si="16"/>
        <v>7384.25</v>
      </c>
      <c r="M26" s="373">
        <f t="shared" si="16"/>
        <v>7384.25</v>
      </c>
      <c r="N26" s="373">
        <f t="shared" si="16"/>
        <v>7384.25</v>
      </c>
      <c r="O26" s="373">
        <f t="shared" si="16"/>
        <v>7384.25</v>
      </c>
      <c r="P26" s="373">
        <f t="shared" si="16"/>
        <v>7384.25</v>
      </c>
    </row>
    <row r="27" spans="1:16" ht="12.75" customHeight="1" x14ac:dyDescent="0.25">
      <c r="E27" s="45"/>
      <c r="F27" s="45"/>
      <c r="G27" s="158"/>
      <c r="H27" s="45"/>
      <c r="I27" s="45"/>
      <c r="J27" s="45"/>
      <c r="K27" s="45"/>
      <c r="L27" s="45"/>
      <c r="M27" s="45"/>
      <c r="N27" s="45"/>
      <c r="O27" s="45"/>
      <c r="P27" s="45"/>
    </row>
    <row r="28" spans="1:16" ht="12.75" customHeight="1" x14ac:dyDescent="0.25">
      <c r="A28" s="29" t="s">
        <v>110</v>
      </c>
      <c r="C28" s="29"/>
      <c r="D28" s="29"/>
      <c r="E28" s="48"/>
      <c r="F28" s="48"/>
      <c r="G28" s="181"/>
      <c r="H28" s="19"/>
      <c r="I28" s="19"/>
      <c r="J28" s="19"/>
      <c r="K28" s="19"/>
      <c r="L28" s="19"/>
      <c r="M28" s="19"/>
      <c r="N28" s="19"/>
      <c r="O28" s="19"/>
      <c r="P28" s="19"/>
    </row>
    <row r="29" spans="1:16" ht="12.75" customHeight="1" x14ac:dyDescent="0.25">
      <c r="A29" s="29" t="s">
        <v>191</v>
      </c>
      <c r="B29" s="29"/>
      <c r="C29" s="29"/>
      <c r="D29" s="29"/>
      <c r="E29" s="48"/>
      <c r="F29" s="48"/>
      <c r="G29" s="181"/>
      <c r="H29" s="48"/>
      <c r="I29" s="48"/>
      <c r="J29" s="48"/>
      <c r="K29" s="48"/>
      <c r="L29" s="48"/>
      <c r="M29" s="48"/>
      <c r="N29" s="48"/>
      <c r="O29" s="48"/>
      <c r="P29" s="48"/>
    </row>
    <row r="30" spans="1:16" ht="12.75" customHeight="1" x14ac:dyDescent="0.25">
      <c r="B30" s="80" t="s">
        <v>223</v>
      </c>
      <c r="E30" s="25"/>
      <c r="F30" s="25">
        <f t="shared" ref="F30:G33" si="17">(F9-E9)</f>
        <v>0</v>
      </c>
      <c r="G30" s="182">
        <f t="shared" si="17"/>
        <v>0</v>
      </c>
      <c r="H30" s="25">
        <f t="shared" ref="H30:I33" si="18">(H9-G9)</f>
        <v>0</v>
      </c>
      <c r="I30" s="25">
        <f t="shared" si="18"/>
        <v>0</v>
      </c>
      <c r="J30" s="25">
        <f t="shared" ref="J30:J33" si="19">(J9-I9)</f>
        <v>0</v>
      </c>
      <c r="K30" s="25">
        <f t="shared" ref="K30:K33" si="20">(K9-J9)</f>
        <v>0</v>
      </c>
      <c r="L30" s="25">
        <f t="shared" ref="L30:L33" si="21">(L9-K9)</f>
        <v>0</v>
      </c>
      <c r="M30" s="25">
        <f t="shared" ref="M30:M33" si="22">(M9-L9)</f>
        <v>0</v>
      </c>
      <c r="N30" s="25">
        <f t="shared" ref="N30:N33" si="23">(N9-M9)</f>
        <v>0</v>
      </c>
      <c r="O30" s="25">
        <f t="shared" ref="O30:O33" si="24">(O9-N9)</f>
        <v>0</v>
      </c>
      <c r="P30" s="25">
        <f t="shared" ref="P30:P33" si="25">(P9-O9)</f>
        <v>0</v>
      </c>
    </row>
    <row r="31" spans="1:16" ht="12.75" customHeight="1" x14ac:dyDescent="0.25">
      <c r="B31" s="80" t="s">
        <v>320</v>
      </c>
      <c r="E31" s="25"/>
      <c r="F31" s="25">
        <f t="shared" si="17"/>
        <v>0</v>
      </c>
      <c r="G31" s="182">
        <f t="shared" si="17"/>
        <v>0</v>
      </c>
      <c r="H31" s="25">
        <f t="shared" si="18"/>
        <v>0</v>
      </c>
      <c r="I31" s="25">
        <f t="shared" si="18"/>
        <v>0</v>
      </c>
      <c r="J31" s="25">
        <f t="shared" si="19"/>
        <v>0</v>
      </c>
      <c r="K31" s="25">
        <f t="shared" si="20"/>
        <v>0</v>
      </c>
      <c r="L31" s="25">
        <f t="shared" si="21"/>
        <v>0</v>
      </c>
      <c r="M31" s="25">
        <f t="shared" si="22"/>
        <v>0</v>
      </c>
      <c r="N31" s="25">
        <f t="shared" si="23"/>
        <v>0</v>
      </c>
      <c r="O31" s="25">
        <f t="shared" si="24"/>
        <v>0</v>
      </c>
      <c r="P31" s="25">
        <f t="shared" si="25"/>
        <v>0</v>
      </c>
    </row>
    <row r="32" spans="1:16" ht="12.75" customHeight="1" x14ac:dyDescent="0.25">
      <c r="B32" s="80" t="s">
        <v>299</v>
      </c>
      <c r="E32" s="25"/>
      <c r="F32" s="25">
        <f t="shared" si="17"/>
        <v>0</v>
      </c>
      <c r="G32" s="182">
        <f t="shared" si="17"/>
        <v>0</v>
      </c>
      <c r="H32" s="25">
        <f t="shared" si="18"/>
        <v>0</v>
      </c>
      <c r="I32" s="25">
        <f t="shared" si="18"/>
        <v>0</v>
      </c>
      <c r="J32" s="25">
        <f t="shared" si="19"/>
        <v>0</v>
      </c>
      <c r="K32" s="25">
        <f t="shared" si="20"/>
        <v>0</v>
      </c>
      <c r="L32" s="25">
        <f t="shared" si="21"/>
        <v>0</v>
      </c>
      <c r="M32" s="25">
        <f t="shared" si="22"/>
        <v>0</v>
      </c>
      <c r="N32" s="25">
        <f t="shared" si="23"/>
        <v>0</v>
      </c>
      <c r="O32" s="25">
        <f t="shared" si="24"/>
        <v>0</v>
      </c>
      <c r="P32" s="25">
        <f t="shared" si="25"/>
        <v>0</v>
      </c>
    </row>
    <row r="33" spans="1:16" ht="12.75" customHeight="1" x14ac:dyDescent="0.25">
      <c r="B33" s="22" t="s">
        <v>299</v>
      </c>
      <c r="C33" s="22"/>
      <c r="D33" s="22"/>
      <c r="E33" s="47"/>
      <c r="F33" s="47">
        <f t="shared" si="17"/>
        <v>0</v>
      </c>
      <c r="G33" s="183">
        <f t="shared" si="17"/>
        <v>0</v>
      </c>
      <c r="H33" s="47">
        <f t="shared" si="18"/>
        <v>0</v>
      </c>
      <c r="I33" s="47">
        <f t="shared" si="18"/>
        <v>0</v>
      </c>
      <c r="J33" s="47">
        <f t="shared" si="19"/>
        <v>0</v>
      </c>
      <c r="K33" s="47">
        <f t="shared" si="20"/>
        <v>0</v>
      </c>
      <c r="L33" s="47">
        <f t="shared" si="21"/>
        <v>0</v>
      </c>
      <c r="M33" s="47">
        <f t="shared" si="22"/>
        <v>0</v>
      </c>
      <c r="N33" s="47">
        <f t="shared" si="23"/>
        <v>0</v>
      </c>
      <c r="O33" s="47">
        <f t="shared" si="24"/>
        <v>0</v>
      </c>
      <c r="P33" s="47">
        <f t="shared" si="25"/>
        <v>0</v>
      </c>
    </row>
    <row r="34" spans="1:16" ht="12.75" customHeight="1" x14ac:dyDescent="0.25">
      <c r="B34" s="3" t="s">
        <v>178</v>
      </c>
      <c r="E34" s="25"/>
      <c r="F34" s="25">
        <f t="shared" ref="F34:I34" si="26">SUM(F30:F33)</f>
        <v>0</v>
      </c>
      <c r="G34" s="182">
        <f t="shared" si="26"/>
        <v>0</v>
      </c>
      <c r="H34" s="25">
        <f t="shared" si="26"/>
        <v>0</v>
      </c>
      <c r="I34" s="25">
        <f t="shared" si="26"/>
        <v>0</v>
      </c>
      <c r="J34" s="25">
        <f t="shared" ref="J34:P34" si="27">SUM(J30:J33)</f>
        <v>0</v>
      </c>
      <c r="K34" s="25">
        <f t="shared" si="27"/>
        <v>0</v>
      </c>
      <c r="L34" s="25">
        <f t="shared" si="27"/>
        <v>0</v>
      </c>
      <c r="M34" s="25">
        <f t="shared" si="27"/>
        <v>0</v>
      </c>
      <c r="N34" s="25">
        <f t="shared" si="27"/>
        <v>0</v>
      </c>
      <c r="O34" s="25">
        <f t="shared" si="27"/>
        <v>0</v>
      </c>
      <c r="P34" s="25">
        <f t="shared" si="27"/>
        <v>0</v>
      </c>
    </row>
    <row r="35" spans="1:16" ht="12.75" customHeight="1" x14ac:dyDescent="0.25">
      <c r="A35" s="29" t="s">
        <v>111</v>
      </c>
      <c r="E35" s="25"/>
      <c r="F35" s="25"/>
      <c r="G35" s="182"/>
      <c r="H35" s="25"/>
      <c r="I35" s="25"/>
      <c r="J35" s="25"/>
      <c r="K35" s="25"/>
      <c r="L35" s="25"/>
      <c r="M35" s="25"/>
      <c r="N35" s="25"/>
      <c r="O35" s="25"/>
      <c r="P35" s="25"/>
    </row>
    <row r="36" spans="1:16" ht="12.75" customHeight="1" x14ac:dyDescent="0.25">
      <c r="B36" s="80" t="s">
        <v>223</v>
      </c>
      <c r="E36" s="25"/>
      <c r="F36" s="25">
        <f t="shared" ref="F36:I39" si="28">(F16-E16)</f>
        <v>0</v>
      </c>
      <c r="G36" s="182">
        <f t="shared" si="28"/>
        <v>0</v>
      </c>
      <c r="H36" s="25">
        <f t="shared" si="28"/>
        <v>0</v>
      </c>
      <c r="I36" s="25">
        <f t="shared" si="28"/>
        <v>0</v>
      </c>
      <c r="J36" s="25">
        <f t="shared" ref="J36:J39" si="29">(J16-I16)</f>
        <v>0</v>
      </c>
      <c r="K36" s="25">
        <f t="shared" ref="K36:K39" si="30">(K16-J16)</f>
        <v>0</v>
      </c>
      <c r="L36" s="25">
        <f t="shared" ref="L36:L39" si="31">(L16-K16)</f>
        <v>0</v>
      </c>
      <c r="M36" s="25">
        <f t="shared" ref="M36:M39" si="32">(M16-L16)</f>
        <v>0</v>
      </c>
      <c r="N36" s="25">
        <f t="shared" ref="N36:N39" si="33">(N16-M16)</f>
        <v>0</v>
      </c>
      <c r="O36" s="25">
        <f t="shared" ref="O36:O39" si="34">(O16-N16)</f>
        <v>0</v>
      </c>
      <c r="P36" s="25">
        <f t="shared" ref="P36:P39" si="35">(P16-O16)</f>
        <v>0</v>
      </c>
    </row>
    <row r="37" spans="1:16" ht="12.75" customHeight="1" x14ac:dyDescent="0.25">
      <c r="B37" s="80" t="s">
        <v>320</v>
      </c>
      <c r="E37" s="25"/>
      <c r="F37" s="25">
        <f t="shared" si="28"/>
        <v>0</v>
      </c>
      <c r="G37" s="182">
        <f t="shared" si="28"/>
        <v>0</v>
      </c>
      <c r="H37" s="25">
        <f t="shared" si="28"/>
        <v>0</v>
      </c>
      <c r="I37" s="25">
        <f t="shared" si="28"/>
        <v>0</v>
      </c>
      <c r="J37" s="25">
        <f t="shared" si="29"/>
        <v>0</v>
      </c>
      <c r="K37" s="25">
        <f t="shared" si="30"/>
        <v>0</v>
      </c>
      <c r="L37" s="25">
        <f t="shared" si="31"/>
        <v>0</v>
      </c>
      <c r="M37" s="25">
        <f t="shared" si="32"/>
        <v>0</v>
      </c>
      <c r="N37" s="25">
        <f t="shared" si="33"/>
        <v>0</v>
      </c>
      <c r="O37" s="25">
        <f t="shared" si="34"/>
        <v>0</v>
      </c>
      <c r="P37" s="25">
        <f t="shared" si="35"/>
        <v>0</v>
      </c>
    </row>
    <row r="38" spans="1:16" ht="12.75" customHeight="1" x14ac:dyDescent="0.25">
      <c r="B38" s="80" t="s">
        <v>299</v>
      </c>
      <c r="E38" s="25"/>
      <c r="F38" s="25">
        <f t="shared" si="28"/>
        <v>0</v>
      </c>
      <c r="G38" s="182">
        <f t="shared" si="28"/>
        <v>0</v>
      </c>
      <c r="H38" s="25">
        <f t="shared" si="28"/>
        <v>0</v>
      </c>
      <c r="I38" s="25">
        <f t="shared" si="28"/>
        <v>0</v>
      </c>
      <c r="J38" s="25">
        <f t="shared" si="29"/>
        <v>0</v>
      </c>
      <c r="K38" s="25">
        <f t="shared" si="30"/>
        <v>0</v>
      </c>
      <c r="L38" s="25">
        <f t="shared" si="31"/>
        <v>0</v>
      </c>
      <c r="M38" s="25">
        <f t="shared" si="32"/>
        <v>0</v>
      </c>
      <c r="N38" s="25">
        <f t="shared" si="33"/>
        <v>0</v>
      </c>
      <c r="O38" s="25">
        <f t="shared" si="34"/>
        <v>0</v>
      </c>
      <c r="P38" s="25">
        <f t="shared" si="35"/>
        <v>0</v>
      </c>
    </row>
    <row r="39" spans="1:16" ht="12.75" customHeight="1" x14ac:dyDescent="0.25">
      <c r="B39" s="22" t="s">
        <v>299</v>
      </c>
      <c r="E39" s="25"/>
      <c r="F39" s="25">
        <f t="shared" si="28"/>
        <v>0</v>
      </c>
      <c r="G39" s="182">
        <f t="shared" si="28"/>
        <v>0</v>
      </c>
      <c r="H39" s="25">
        <f t="shared" si="28"/>
        <v>0</v>
      </c>
      <c r="I39" s="25">
        <f t="shared" si="28"/>
        <v>0</v>
      </c>
      <c r="J39" s="25">
        <f t="shared" si="29"/>
        <v>0</v>
      </c>
      <c r="K39" s="25">
        <f t="shared" si="30"/>
        <v>0</v>
      </c>
      <c r="L39" s="25">
        <f t="shared" si="31"/>
        <v>0</v>
      </c>
      <c r="M39" s="25">
        <f t="shared" si="32"/>
        <v>0</v>
      </c>
      <c r="N39" s="25">
        <f t="shared" si="33"/>
        <v>0</v>
      </c>
      <c r="O39" s="25">
        <f t="shared" si="34"/>
        <v>0</v>
      </c>
      <c r="P39" s="25">
        <f t="shared" si="35"/>
        <v>0</v>
      </c>
    </row>
    <row r="40" spans="1:16" ht="12.75" customHeight="1" x14ac:dyDescent="0.25">
      <c r="B40" s="218" t="s">
        <v>109</v>
      </c>
      <c r="C40" s="102"/>
      <c r="D40" s="102"/>
      <c r="E40" s="150">
        <f t="shared" ref="E40:I40" si="36">SUM(E36:E39)</f>
        <v>0</v>
      </c>
      <c r="F40" s="150">
        <f t="shared" si="36"/>
        <v>0</v>
      </c>
      <c r="G40" s="184">
        <f t="shared" si="36"/>
        <v>0</v>
      </c>
      <c r="H40" s="150">
        <f t="shared" si="36"/>
        <v>0</v>
      </c>
      <c r="I40" s="150">
        <f t="shared" si="36"/>
        <v>0</v>
      </c>
      <c r="J40" s="150">
        <f t="shared" ref="J40:P40" si="37">SUM(J36:J39)</f>
        <v>0</v>
      </c>
      <c r="K40" s="150">
        <f t="shared" si="37"/>
        <v>0</v>
      </c>
      <c r="L40" s="150">
        <f t="shared" si="37"/>
        <v>0</v>
      </c>
      <c r="M40" s="150">
        <f t="shared" si="37"/>
        <v>0</v>
      </c>
      <c r="N40" s="150">
        <f t="shared" si="37"/>
        <v>0</v>
      </c>
      <c r="O40" s="150">
        <f t="shared" si="37"/>
        <v>0</v>
      </c>
      <c r="P40" s="150">
        <f t="shared" si="37"/>
        <v>0</v>
      </c>
    </row>
    <row r="41" spans="1:16" ht="12.75" customHeight="1" x14ac:dyDescent="0.25">
      <c r="C41" s="74"/>
      <c r="D41" s="74"/>
      <c r="E41" s="25"/>
      <c r="F41" s="25"/>
      <c r="G41" s="182"/>
      <c r="H41" s="25"/>
      <c r="I41" s="25"/>
      <c r="J41" s="25"/>
      <c r="K41" s="25"/>
      <c r="L41" s="25"/>
      <c r="M41" s="25"/>
      <c r="N41" s="25"/>
      <c r="O41" s="25"/>
      <c r="P41" s="25"/>
    </row>
    <row r="42" spans="1:16" ht="12.75" customHeight="1" x14ac:dyDescent="0.25">
      <c r="A42" s="72" t="s">
        <v>106</v>
      </c>
      <c r="E42" s="25"/>
      <c r="F42" s="25"/>
      <c r="G42" s="182"/>
      <c r="H42" s="25"/>
      <c r="I42" s="25"/>
      <c r="J42" s="25"/>
      <c r="K42" s="25"/>
      <c r="L42" s="25"/>
      <c r="M42" s="25"/>
      <c r="N42" s="25"/>
      <c r="O42" s="25"/>
      <c r="P42" s="25"/>
    </row>
    <row r="43" spans="1:16" ht="12.75" customHeight="1" x14ac:dyDescent="0.25">
      <c r="B43" s="22" t="s">
        <v>86</v>
      </c>
      <c r="C43" s="22"/>
      <c r="D43" s="22"/>
      <c r="E43" s="47"/>
      <c r="F43" s="47">
        <f t="shared" ref="F43:I43" si="38">(F23-E23)</f>
        <v>0</v>
      </c>
      <c r="G43" s="183">
        <f t="shared" si="38"/>
        <v>0</v>
      </c>
      <c r="H43" s="47">
        <f t="shared" si="38"/>
        <v>0</v>
      </c>
      <c r="I43" s="47">
        <f t="shared" si="38"/>
        <v>0</v>
      </c>
      <c r="J43" s="47">
        <f t="shared" ref="J43" si="39">(J23-I23)</f>
        <v>0</v>
      </c>
      <c r="K43" s="47">
        <f t="shared" ref="K43" si="40">(K23-J23)</f>
        <v>0</v>
      </c>
      <c r="L43" s="47">
        <f t="shared" ref="L43" si="41">(L23-K23)</f>
        <v>0</v>
      </c>
      <c r="M43" s="47">
        <f t="shared" ref="M43" si="42">(M23-L23)</f>
        <v>0</v>
      </c>
      <c r="N43" s="47">
        <f t="shared" ref="N43" si="43">(N23-M23)</f>
        <v>0</v>
      </c>
      <c r="O43" s="47">
        <f t="shared" ref="O43" si="44">(O23-N23)</f>
        <v>0</v>
      </c>
      <c r="P43" s="47">
        <f t="shared" ref="P43" si="45">(P23-O23)</f>
        <v>0</v>
      </c>
    </row>
    <row r="44" spans="1:16" ht="12.75" customHeight="1" x14ac:dyDescent="0.25">
      <c r="B44" s="3" t="s">
        <v>104</v>
      </c>
      <c r="E44" s="25">
        <f t="shared" ref="E44:I44" si="46">SUM(E43:E43)</f>
        <v>0</v>
      </c>
      <c r="F44" s="25">
        <f t="shared" si="46"/>
        <v>0</v>
      </c>
      <c r="G44" s="182">
        <f t="shared" si="46"/>
        <v>0</v>
      </c>
      <c r="H44" s="25">
        <f t="shared" si="46"/>
        <v>0</v>
      </c>
      <c r="I44" s="25">
        <f t="shared" si="46"/>
        <v>0</v>
      </c>
      <c r="J44" s="25">
        <f t="shared" ref="J44:P44" si="47">SUM(J43:J43)</f>
        <v>0</v>
      </c>
      <c r="K44" s="25">
        <f t="shared" si="47"/>
        <v>0</v>
      </c>
      <c r="L44" s="25">
        <f t="shared" si="47"/>
        <v>0</v>
      </c>
      <c r="M44" s="25">
        <f t="shared" si="47"/>
        <v>0</v>
      </c>
      <c r="N44" s="25">
        <f t="shared" si="47"/>
        <v>0</v>
      </c>
      <c r="O44" s="25">
        <f t="shared" si="47"/>
        <v>0</v>
      </c>
      <c r="P44" s="25">
        <f t="shared" si="47"/>
        <v>0</v>
      </c>
    </row>
    <row r="45" spans="1:16" ht="12.75" customHeight="1" thickBot="1" x14ac:dyDescent="0.3">
      <c r="B45" s="32"/>
      <c r="C45" s="32"/>
      <c r="D45" s="32"/>
      <c r="E45" s="57"/>
      <c r="F45" s="57"/>
      <c r="G45" s="192"/>
      <c r="H45" s="57"/>
      <c r="I45" s="57"/>
      <c r="J45" s="57"/>
      <c r="K45" s="57"/>
      <c r="L45" s="57"/>
      <c r="M45" s="57"/>
      <c r="N45" s="57"/>
      <c r="O45" s="57"/>
      <c r="P45" s="57"/>
    </row>
    <row r="46" spans="1:16" ht="12.75" customHeight="1" thickTop="1" x14ac:dyDescent="0.25">
      <c r="B46" s="29" t="s">
        <v>34</v>
      </c>
      <c r="C46" s="29"/>
      <c r="D46" s="29"/>
      <c r="E46" s="373">
        <f t="shared" ref="E46:I46" si="48">E34+E40+E44</f>
        <v>0</v>
      </c>
      <c r="F46" s="373">
        <f t="shared" si="48"/>
        <v>0</v>
      </c>
      <c r="G46" s="374">
        <f t="shared" si="48"/>
        <v>0</v>
      </c>
      <c r="H46" s="373">
        <f t="shared" si="48"/>
        <v>0</v>
      </c>
      <c r="I46" s="373">
        <f t="shared" si="48"/>
        <v>0</v>
      </c>
      <c r="J46" s="373">
        <f t="shared" ref="J46:P46" si="49">J34+J40+J44</f>
        <v>0</v>
      </c>
      <c r="K46" s="373">
        <f t="shared" si="49"/>
        <v>0</v>
      </c>
      <c r="L46" s="373">
        <f t="shared" si="49"/>
        <v>0</v>
      </c>
      <c r="M46" s="373">
        <f t="shared" si="49"/>
        <v>0</v>
      </c>
      <c r="N46" s="373">
        <f t="shared" si="49"/>
        <v>0</v>
      </c>
      <c r="O46" s="373">
        <f t="shared" si="49"/>
        <v>0</v>
      </c>
      <c r="P46" s="373">
        <f t="shared" si="49"/>
        <v>0</v>
      </c>
    </row>
    <row r="47" spans="1:16" ht="12.75" customHeight="1" x14ac:dyDescent="0.25">
      <c r="E47" s="45"/>
      <c r="F47" s="45"/>
      <c r="G47" s="158"/>
      <c r="H47" s="45"/>
      <c r="I47" s="45"/>
      <c r="J47" s="45"/>
      <c r="K47" s="45"/>
      <c r="L47" s="45"/>
      <c r="M47" s="45"/>
      <c r="N47" s="45"/>
      <c r="O47" s="45"/>
      <c r="P47" s="45"/>
    </row>
    <row r="48" spans="1:16" ht="12.75" customHeight="1" x14ac:dyDescent="0.25">
      <c r="A48" s="29" t="s">
        <v>7</v>
      </c>
      <c r="C48" s="29"/>
      <c r="D48" s="29"/>
      <c r="E48" s="45"/>
      <c r="F48" s="45"/>
      <c r="G48" s="158"/>
      <c r="H48" s="45"/>
      <c r="I48" s="45"/>
      <c r="J48" s="45"/>
      <c r="K48" s="45"/>
      <c r="L48" s="45"/>
      <c r="M48" s="45"/>
      <c r="N48" s="45"/>
      <c r="O48" s="45"/>
      <c r="P48" s="45"/>
    </row>
    <row r="49" spans="1:16" ht="12.75" customHeight="1" x14ac:dyDescent="0.25">
      <c r="A49" s="29" t="s">
        <v>191</v>
      </c>
      <c r="B49" s="29"/>
      <c r="C49" s="29"/>
      <c r="D49" s="29"/>
      <c r="E49" s="45"/>
      <c r="F49" s="45"/>
      <c r="G49" s="158"/>
      <c r="H49" s="45"/>
      <c r="I49" s="45"/>
      <c r="J49" s="45"/>
      <c r="K49" s="45"/>
      <c r="L49" s="45"/>
      <c r="M49" s="45"/>
      <c r="N49" s="45"/>
      <c r="O49" s="45"/>
      <c r="P49" s="45"/>
    </row>
    <row r="50" spans="1:16" ht="12.75" customHeight="1" x14ac:dyDescent="0.25">
      <c r="B50" s="80" t="s">
        <v>223</v>
      </c>
      <c r="E50" s="25">
        <f>(E70*1000000)/E9/12</f>
        <v>6770.8804700517403</v>
      </c>
      <c r="F50" s="25">
        <f t="shared" ref="F50:P50" si="50">E50*(1+F112)</f>
        <v>6770.8804700517403</v>
      </c>
      <c r="G50" s="182">
        <f t="shared" si="50"/>
        <v>6770.8804700517403</v>
      </c>
      <c r="H50" s="25">
        <f t="shared" si="50"/>
        <v>6770.8804700517403</v>
      </c>
      <c r="I50" s="25">
        <f t="shared" si="50"/>
        <v>6770.8804700517403</v>
      </c>
      <c r="J50" s="25">
        <f t="shared" si="50"/>
        <v>6770.8804700517403</v>
      </c>
      <c r="K50" s="25">
        <f t="shared" si="50"/>
        <v>6770.8804700517403</v>
      </c>
      <c r="L50" s="25">
        <f t="shared" si="50"/>
        <v>6770.8804700517403</v>
      </c>
      <c r="M50" s="25">
        <f t="shared" si="50"/>
        <v>6770.8804700517403</v>
      </c>
      <c r="N50" s="25">
        <f t="shared" si="50"/>
        <v>6770.8804700517403</v>
      </c>
      <c r="O50" s="25">
        <f t="shared" si="50"/>
        <v>6770.8804700517403</v>
      </c>
      <c r="P50" s="25">
        <f t="shared" si="50"/>
        <v>6770.8804700517403</v>
      </c>
    </row>
    <row r="51" spans="1:16" ht="12.75" customHeight="1" x14ac:dyDescent="0.25">
      <c r="B51" s="80" t="s">
        <v>320</v>
      </c>
      <c r="E51" s="25">
        <f>(E71*1000000)/E10/12</f>
        <v>26572.789360172537</v>
      </c>
      <c r="F51" s="25">
        <f t="shared" ref="F51:P51" si="51">E51*(1+F113)</f>
        <v>26572.789360172537</v>
      </c>
      <c r="G51" s="182">
        <f t="shared" si="51"/>
        <v>26572.789360172537</v>
      </c>
      <c r="H51" s="25">
        <f t="shared" si="51"/>
        <v>26572.789360172537</v>
      </c>
      <c r="I51" s="25">
        <f t="shared" si="51"/>
        <v>26572.789360172537</v>
      </c>
      <c r="J51" s="25">
        <f t="shared" si="51"/>
        <v>26572.789360172537</v>
      </c>
      <c r="K51" s="25">
        <f t="shared" si="51"/>
        <v>26572.789360172537</v>
      </c>
      <c r="L51" s="25">
        <f t="shared" si="51"/>
        <v>26572.789360172537</v>
      </c>
      <c r="M51" s="25">
        <f t="shared" si="51"/>
        <v>26572.789360172537</v>
      </c>
      <c r="N51" s="25">
        <f t="shared" si="51"/>
        <v>26572.789360172537</v>
      </c>
      <c r="O51" s="25">
        <f t="shared" si="51"/>
        <v>26572.789360172537</v>
      </c>
      <c r="P51" s="25">
        <f t="shared" si="51"/>
        <v>26572.789360172537</v>
      </c>
    </row>
    <row r="52" spans="1:16" ht="12.75" customHeight="1" x14ac:dyDescent="0.25">
      <c r="B52" s="80" t="s">
        <v>299</v>
      </c>
      <c r="E52" s="25"/>
      <c r="F52" s="25"/>
      <c r="G52" s="182"/>
      <c r="H52" s="25"/>
      <c r="I52" s="25"/>
      <c r="J52" s="25"/>
      <c r="K52" s="25"/>
      <c r="L52" s="25"/>
      <c r="M52" s="25"/>
      <c r="N52" s="25"/>
      <c r="O52" s="25"/>
      <c r="P52" s="25"/>
    </row>
    <row r="53" spans="1:16" ht="12.75" customHeight="1" x14ac:dyDescent="0.25">
      <c r="B53" s="22" t="s">
        <v>299</v>
      </c>
      <c r="C53" s="22"/>
      <c r="D53" s="22"/>
      <c r="E53" s="47"/>
      <c r="F53" s="47"/>
      <c r="G53" s="183"/>
      <c r="H53" s="47"/>
      <c r="I53" s="47"/>
      <c r="J53" s="47"/>
      <c r="K53" s="47"/>
      <c r="L53" s="47"/>
      <c r="M53" s="47"/>
      <c r="N53" s="47"/>
      <c r="O53" s="47"/>
      <c r="P53" s="47"/>
    </row>
    <row r="54" spans="1:16" ht="12.75" customHeight="1" x14ac:dyDescent="0.25">
      <c r="B54" s="3" t="s">
        <v>31</v>
      </c>
      <c r="D54" s="24"/>
      <c r="E54" s="25">
        <f t="shared" ref="E54:P54" si="52">(E74*1000000)/E13/12</f>
        <v>10654.483609446599</v>
      </c>
      <c r="F54" s="25">
        <f t="shared" si="52"/>
        <v>10654.483609446599</v>
      </c>
      <c r="G54" s="182">
        <f t="shared" si="52"/>
        <v>10654.483609446599</v>
      </c>
      <c r="H54" s="25">
        <f t="shared" si="52"/>
        <v>10654.483609446599</v>
      </c>
      <c r="I54" s="25">
        <f t="shared" si="52"/>
        <v>10654.483609446599</v>
      </c>
      <c r="J54" s="25">
        <f t="shared" si="52"/>
        <v>10654.483609446599</v>
      </c>
      <c r="K54" s="25">
        <f t="shared" si="52"/>
        <v>10654.483609446599</v>
      </c>
      <c r="L54" s="25">
        <f t="shared" si="52"/>
        <v>10654.483609446599</v>
      </c>
      <c r="M54" s="25">
        <f t="shared" si="52"/>
        <v>10654.483609446599</v>
      </c>
      <c r="N54" s="25">
        <f t="shared" si="52"/>
        <v>10654.483609446599</v>
      </c>
      <c r="O54" s="25">
        <f t="shared" si="52"/>
        <v>10654.483609446599</v>
      </c>
      <c r="P54" s="25">
        <f t="shared" si="52"/>
        <v>10654.483609446599</v>
      </c>
    </row>
    <row r="55" spans="1:16" ht="12.75" customHeight="1" x14ac:dyDescent="0.25">
      <c r="A55" s="29" t="s">
        <v>111</v>
      </c>
      <c r="E55" s="25"/>
      <c r="F55" s="25"/>
      <c r="G55" s="182"/>
      <c r="H55" s="25"/>
      <c r="I55" s="25"/>
      <c r="J55" s="25"/>
      <c r="K55" s="25"/>
      <c r="L55" s="25"/>
      <c r="M55" s="25"/>
      <c r="N55" s="25"/>
      <c r="O55" s="25"/>
      <c r="P55" s="25"/>
    </row>
    <row r="56" spans="1:16" ht="12.75" customHeight="1" x14ac:dyDescent="0.25">
      <c r="B56" s="80" t="s">
        <v>223</v>
      </c>
      <c r="E56" s="25">
        <f>(E76*1000000)/E16/12</f>
        <v>5889.7637795275587</v>
      </c>
      <c r="F56" s="25">
        <f t="shared" ref="F56" si="53">E56*(1+F118)</f>
        <v>5889.7637795275587</v>
      </c>
      <c r="G56" s="182">
        <f t="shared" ref="G56" si="54">F56*(1+G118)</f>
        <v>5889.7637795275587</v>
      </c>
      <c r="H56" s="25">
        <f t="shared" ref="H56" si="55">G56*(1+H118)</f>
        <v>5889.7637795275587</v>
      </c>
      <c r="I56" s="25">
        <f t="shared" ref="I56" si="56">H56*(1+I118)</f>
        <v>5889.7637795275587</v>
      </c>
      <c r="J56" s="25">
        <f t="shared" ref="J56" si="57">I56*(1+J118)</f>
        <v>5889.7637795275587</v>
      </c>
      <c r="K56" s="25">
        <f t="shared" ref="K56" si="58">J56*(1+K118)</f>
        <v>5889.7637795275587</v>
      </c>
      <c r="L56" s="25">
        <f t="shared" ref="L56" si="59">K56*(1+L118)</f>
        <v>5889.7637795275587</v>
      </c>
      <c r="M56" s="25">
        <f t="shared" ref="M56" si="60">L56*(1+M118)</f>
        <v>5889.7637795275587</v>
      </c>
      <c r="N56" s="25">
        <f t="shared" ref="N56" si="61">M56*(1+N118)</f>
        <v>5889.7637795275587</v>
      </c>
      <c r="O56" s="25">
        <f t="shared" ref="O56" si="62">N56*(1+O118)</f>
        <v>5889.7637795275587</v>
      </c>
      <c r="P56" s="25">
        <f t="shared" ref="P56" si="63">O56*(1+P118)</f>
        <v>5889.7637795275587</v>
      </c>
    </row>
    <row r="57" spans="1:16" ht="12.75" customHeight="1" x14ac:dyDescent="0.25">
      <c r="B57" s="80" t="s">
        <v>320</v>
      </c>
      <c r="E57" s="25">
        <f>(E77*1000000)/E17/12</f>
        <v>24525</v>
      </c>
      <c r="F57" s="25">
        <f t="shared" ref="F57" si="64">E57*(1+F119)</f>
        <v>24525</v>
      </c>
      <c r="G57" s="182">
        <f t="shared" ref="G57" si="65">F57*(1+G119)</f>
        <v>24525</v>
      </c>
      <c r="H57" s="25">
        <f t="shared" ref="H57" si="66">G57*(1+H119)</f>
        <v>24525</v>
      </c>
      <c r="I57" s="25">
        <f t="shared" ref="I57" si="67">H57*(1+I119)</f>
        <v>24525</v>
      </c>
      <c r="J57" s="25">
        <f t="shared" ref="J57" si="68">I57*(1+J119)</f>
        <v>24525</v>
      </c>
      <c r="K57" s="25">
        <f t="shared" ref="K57" si="69">J57*(1+K119)</f>
        <v>24525</v>
      </c>
      <c r="L57" s="25">
        <f t="shared" ref="L57" si="70">K57*(1+L119)</f>
        <v>24525</v>
      </c>
      <c r="M57" s="25">
        <f t="shared" ref="M57" si="71">L57*(1+M119)</f>
        <v>24525</v>
      </c>
      <c r="N57" s="25">
        <f t="shared" ref="N57" si="72">M57*(1+N119)</f>
        <v>24525</v>
      </c>
      <c r="O57" s="25">
        <f t="shared" ref="O57" si="73">N57*(1+O119)</f>
        <v>24525</v>
      </c>
      <c r="P57" s="25">
        <f t="shared" ref="P57" si="74">O57*(1+P119)</f>
        <v>24525</v>
      </c>
    </row>
    <row r="58" spans="1:16" ht="12.75" customHeight="1" x14ac:dyDescent="0.25">
      <c r="B58" s="80" t="s">
        <v>299</v>
      </c>
      <c r="E58" s="25"/>
      <c r="F58" s="25"/>
      <c r="G58" s="182"/>
      <c r="H58" s="25"/>
      <c r="I58" s="25"/>
      <c r="J58" s="25"/>
      <c r="K58" s="25"/>
      <c r="L58" s="25"/>
      <c r="M58" s="25"/>
      <c r="N58" s="25"/>
      <c r="O58" s="25"/>
      <c r="P58" s="25"/>
    </row>
    <row r="59" spans="1:16" ht="12.75" customHeight="1" x14ac:dyDescent="0.25">
      <c r="B59" s="22" t="s">
        <v>299</v>
      </c>
      <c r="D59" s="22"/>
      <c r="E59" s="25"/>
      <c r="F59" s="25"/>
      <c r="G59" s="182"/>
      <c r="H59" s="25"/>
      <c r="I59" s="25"/>
      <c r="J59" s="25"/>
      <c r="K59" s="25"/>
      <c r="L59" s="25"/>
      <c r="M59" s="25"/>
      <c r="N59" s="25"/>
      <c r="O59" s="25"/>
      <c r="P59" s="25"/>
    </row>
    <row r="60" spans="1:16" ht="12.75" customHeight="1" x14ac:dyDescent="0.25">
      <c r="B60" s="3" t="s">
        <v>31</v>
      </c>
      <c r="C60" s="218"/>
      <c r="D60" s="24"/>
      <c r="E60" s="150"/>
      <c r="F60" s="150"/>
      <c r="G60" s="184"/>
      <c r="H60" s="150"/>
      <c r="I60" s="150"/>
      <c r="J60" s="150"/>
      <c r="K60" s="150"/>
      <c r="L60" s="150"/>
      <c r="M60" s="150"/>
      <c r="N60" s="150"/>
      <c r="O60" s="150"/>
      <c r="P60" s="150"/>
    </row>
    <row r="61" spans="1:16" ht="12.75" customHeight="1" x14ac:dyDescent="0.25">
      <c r="E61" s="25"/>
      <c r="F61" s="25"/>
      <c r="G61" s="182"/>
      <c r="H61" s="25"/>
      <c r="I61" s="25"/>
      <c r="J61" s="25"/>
      <c r="K61" s="25"/>
      <c r="L61" s="25"/>
      <c r="M61" s="25"/>
      <c r="N61" s="25"/>
      <c r="O61" s="25"/>
      <c r="P61" s="25"/>
    </row>
    <row r="62" spans="1:16" ht="12.75" customHeight="1" x14ac:dyDescent="0.25">
      <c r="A62" s="72" t="s">
        <v>106</v>
      </c>
      <c r="E62" s="25"/>
      <c r="F62" s="25"/>
      <c r="G62" s="182"/>
      <c r="H62" s="25"/>
      <c r="I62" s="25"/>
      <c r="J62" s="25"/>
      <c r="K62" s="25"/>
      <c r="L62" s="25"/>
      <c r="M62" s="25"/>
      <c r="N62" s="25"/>
      <c r="O62" s="25"/>
      <c r="P62" s="25"/>
    </row>
    <row r="63" spans="1:16" ht="12.75" customHeight="1" x14ac:dyDescent="0.25">
      <c r="B63" s="22" t="s">
        <v>86</v>
      </c>
      <c r="C63" s="22"/>
      <c r="D63" s="22"/>
      <c r="E63" s="47"/>
      <c r="F63" s="47"/>
      <c r="G63" s="183"/>
      <c r="H63" s="47"/>
      <c r="I63" s="47"/>
      <c r="J63" s="47"/>
      <c r="K63" s="47"/>
      <c r="L63" s="47"/>
      <c r="M63" s="47"/>
      <c r="N63" s="47"/>
      <c r="O63" s="47"/>
      <c r="P63" s="47"/>
    </row>
    <row r="64" spans="1:16" ht="12.75" customHeight="1" x14ac:dyDescent="0.25">
      <c r="B64" s="3" t="s">
        <v>31</v>
      </c>
      <c r="D64" s="24"/>
      <c r="E64" s="25">
        <f>E63</f>
        <v>0</v>
      </c>
      <c r="F64" s="25">
        <f t="shared" ref="F64:I64" si="75">F63</f>
        <v>0</v>
      </c>
      <c r="G64" s="182">
        <f t="shared" si="75"/>
        <v>0</v>
      </c>
      <c r="H64" s="25">
        <f t="shared" si="75"/>
        <v>0</v>
      </c>
      <c r="I64" s="25">
        <f t="shared" si="75"/>
        <v>0</v>
      </c>
      <c r="J64" s="25">
        <f t="shared" ref="J64:P64" si="76">J63</f>
        <v>0</v>
      </c>
      <c r="K64" s="25">
        <f t="shared" si="76"/>
        <v>0</v>
      </c>
      <c r="L64" s="25">
        <f t="shared" si="76"/>
        <v>0</v>
      </c>
      <c r="M64" s="25">
        <f t="shared" si="76"/>
        <v>0</v>
      </c>
      <c r="N64" s="25">
        <f t="shared" si="76"/>
        <v>0</v>
      </c>
      <c r="O64" s="25">
        <f t="shared" si="76"/>
        <v>0</v>
      </c>
      <c r="P64" s="25">
        <f t="shared" si="76"/>
        <v>0</v>
      </c>
    </row>
    <row r="65" spans="1:16" ht="12.75" customHeight="1" thickBot="1" x14ac:dyDescent="0.3">
      <c r="B65" s="32"/>
      <c r="C65" s="32"/>
      <c r="D65" s="32"/>
      <c r="E65" s="57"/>
      <c r="F65" s="57"/>
      <c r="G65" s="192"/>
      <c r="H65" s="57"/>
      <c r="I65" s="57"/>
      <c r="J65" s="57"/>
      <c r="K65" s="57"/>
      <c r="L65" s="57"/>
      <c r="M65" s="57"/>
      <c r="N65" s="57"/>
      <c r="O65" s="57"/>
      <c r="P65" s="57"/>
    </row>
    <row r="66" spans="1:16" ht="12.75" customHeight="1" thickTop="1" x14ac:dyDescent="0.25">
      <c r="B66" s="29" t="s">
        <v>33</v>
      </c>
      <c r="C66" s="29"/>
      <c r="D66" s="4" t="s">
        <v>32</v>
      </c>
      <c r="E66" s="373">
        <f t="shared" ref="E66:P66" si="77">(E86*1000000)/E26/12</f>
        <v>10481.372515827607</v>
      </c>
      <c r="F66" s="373">
        <f t="shared" si="77"/>
        <v>10481.372515827607</v>
      </c>
      <c r="G66" s="374">
        <f t="shared" si="77"/>
        <v>10481.372515827607</v>
      </c>
      <c r="H66" s="373">
        <f t="shared" si="77"/>
        <v>10481.372515827607</v>
      </c>
      <c r="I66" s="373">
        <f t="shared" si="77"/>
        <v>10481.372515827607</v>
      </c>
      <c r="J66" s="373">
        <f t="shared" si="77"/>
        <v>10481.372515827607</v>
      </c>
      <c r="K66" s="373">
        <f t="shared" si="77"/>
        <v>10481.372515827607</v>
      </c>
      <c r="L66" s="373">
        <f t="shared" si="77"/>
        <v>10481.372515827607</v>
      </c>
      <c r="M66" s="373">
        <f t="shared" si="77"/>
        <v>10481.372515827607</v>
      </c>
      <c r="N66" s="373">
        <f t="shared" si="77"/>
        <v>10481.372515827607</v>
      </c>
      <c r="O66" s="373">
        <f t="shared" si="77"/>
        <v>10481.372515827607</v>
      </c>
      <c r="P66" s="373">
        <f t="shared" si="77"/>
        <v>10481.372515827607</v>
      </c>
    </row>
    <row r="67" spans="1:16" ht="12.75" customHeight="1" x14ac:dyDescent="0.25">
      <c r="E67" s="25"/>
      <c r="F67" s="25"/>
      <c r="G67" s="182"/>
      <c r="H67" s="25"/>
      <c r="I67" s="25"/>
      <c r="J67" s="25"/>
      <c r="K67" s="25"/>
      <c r="L67" s="25"/>
      <c r="M67" s="25"/>
      <c r="N67" s="25"/>
      <c r="O67" s="25"/>
      <c r="P67" s="25"/>
    </row>
    <row r="68" spans="1:16" ht="12.75" customHeight="1" x14ac:dyDescent="0.25">
      <c r="A68" s="29" t="s">
        <v>30</v>
      </c>
      <c r="C68" s="29"/>
      <c r="D68" s="29"/>
      <c r="E68" s="45"/>
      <c r="F68" s="45"/>
      <c r="G68" s="158"/>
      <c r="H68" s="45"/>
      <c r="I68" s="45"/>
      <c r="J68" s="45"/>
      <c r="K68" s="45"/>
      <c r="L68" s="45"/>
      <c r="M68" s="45"/>
      <c r="N68" s="45"/>
      <c r="O68" s="45"/>
      <c r="P68" s="45"/>
    </row>
    <row r="69" spans="1:16" ht="12.75" customHeight="1" x14ac:dyDescent="0.25">
      <c r="A69" s="29" t="s">
        <v>191</v>
      </c>
      <c r="B69" s="29"/>
      <c r="C69" s="29"/>
      <c r="D69" s="29"/>
      <c r="E69" s="45"/>
      <c r="F69" s="45"/>
      <c r="G69" s="158"/>
      <c r="H69" s="45"/>
      <c r="I69" s="45"/>
      <c r="J69" s="45"/>
      <c r="K69" s="45"/>
      <c r="L69" s="45"/>
      <c r="M69" s="45"/>
      <c r="N69" s="45"/>
      <c r="O69" s="45"/>
      <c r="P69" s="45"/>
    </row>
    <row r="70" spans="1:16" ht="12.75" customHeight="1" x14ac:dyDescent="0.25">
      <c r="B70" s="80" t="s">
        <v>223</v>
      </c>
      <c r="E70" s="611">
        <f>'Customer Data'!P13*3*100/1000000</f>
        <v>463.25009999999997</v>
      </c>
      <c r="F70" s="45">
        <f t="shared" ref="F70:P70" si="78">F9*F50*12/1000000</f>
        <v>463.25009999999997</v>
      </c>
      <c r="G70" s="158">
        <f t="shared" si="78"/>
        <v>463.25009999999997</v>
      </c>
      <c r="H70" s="45">
        <f t="shared" si="78"/>
        <v>463.25009999999997</v>
      </c>
      <c r="I70" s="45">
        <f t="shared" si="78"/>
        <v>463.25009999999997</v>
      </c>
      <c r="J70" s="45">
        <f t="shared" si="78"/>
        <v>463.25009999999997</v>
      </c>
      <c r="K70" s="45">
        <f t="shared" si="78"/>
        <v>463.25009999999997</v>
      </c>
      <c r="L70" s="45">
        <f t="shared" si="78"/>
        <v>463.25009999999997</v>
      </c>
      <c r="M70" s="45">
        <f t="shared" si="78"/>
        <v>463.25009999999997</v>
      </c>
      <c r="N70" s="45">
        <f t="shared" si="78"/>
        <v>463.25009999999997</v>
      </c>
      <c r="O70" s="45">
        <f t="shared" si="78"/>
        <v>463.25009999999997</v>
      </c>
      <c r="P70" s="45">
        <f t="shared" si="78"/>
        <v>463.25009999999997</v>
      </c>
    </row>
    <row r="71" spans="1:16" ht="12.75" customHeight="1" x14ac:dyDescent="0.25">
      <c r="B71" s="80" t="s">
        <v>320</v>
      </c>
      <c r="E71" s="611">
        <f>'Customer Data'!P15*3*100/1000000</f>
        <v>443.553</v>
      </c>
      <c r="F71" s="45">
        <f t="shared" ref="F71:P72" si="79">F10*F51*12/1000000</f>
        <v>443.553</v>
      </c>
      <c r="G71" s="158">
        <f t="shared" si="79"/>
        <v>443.553</v>
      </c>
      <c r="H71" s="45">
        <f t="shared" si="79"/>
        <v>443.553</v>
      </c>
      <c r="I71" s="45">
        <f t="shared" si="79"/>
        <v>443.553</v>
      </c>
      <c r="J71" s="45">
        <f t="shared" si="79"/>
        <v>443.553</v>
      </c>
      <c r="K71" s="45">
        <f t="shared" si="79"/>
        <v>443.553</v>
      </c>
      <c r="L71" s="45">
        <f t="shared" si="79"/>
        <v>443.553</v>
      </c>
      <c r="M71" s="45">
        <f t="shared" si="79"/>
        <v>443.553</v>
      </c>
      <c r="N71" s="45">
        <f t="shared" si="79"/>
        <v>443.553</v>
      </c>
      <c r="O71" s="45">
        <f t="shared" si="79"/>
        <v>443.553</v>
      </c>
      <c r="P71" s="45">
        <f t="shared" si="79"/>
        <v>443.553</v>
      </c>
    </row>
    <row r="72" spans="1:16" ht="12.75" customHeight="1" x14ac:dyDescent="0.25">
      <c r="B72" s="80" t="s">
        <v>299</v>
      </c>
      <c r="E72" s="611">
        <v>0</v>
      </c>
      <c r="F72" s="45">
        <f t="shared" si="79"/>
        <v>0</v>
      </c>
      <c r="G72" s="158">
        <f t="shared" si="79"/>
        <v>0</v>
      </c>
      <c r="H72" s="45">
        <f t="shared" si="79"/>
        <v>0</v>
      </c>
      <c r="I72" s="45">
        <f t="shared" si="79"/>
        <v>0</v>
      </c>
      <c r="J72" s="45">
        <f t="shared" si="79"/>
        <v>0</v>
      </c>
      <c r="K72" s="45">
        <f t="shared" si="79"/>
        <v>0</v>
      </c>
      <c r="L72" s="45">
        <f t="shared" si="79"/>
        <v>0</v>
      </c>
      <c r="M72" s="45">
        <f t="shared" si="79"/>
        <v>0</v>
      </c>
      <c r="N72" s="45">
        <f t="shared" si="79"/>
        <v>0</v>
      </c>
      <c r="O72" s="45">
        <f t="shared" si="79"/>
        <v>0</v>
      </c>
      <c r="P72" s="45">
        <f t="shared" si="79"/>
        <v>0</v>
      </c>
    </row>
    <row r="73" spans="1:16" ht="12.75" customHeight="1" x14ac:dyDescent="0.25">
      <c r="B73" s="22" t="s">
        <v>299</v>
      </c>
      <c r="C73" s="22"/>
      <c r="D73" s="22"/>
      <c r="E73" s="612">
        <v>0</v>
      </c>
      <c r="F73" s="49"/>
      <c r="G73" s="189"/>
      <c r="H73" s="49"/>
      <c r="I73" s="49"/>
      <c r="J73" s="49"/>
      <c r="K73" s="49"/>
      <c r="L73" s="49"/>
      <c r="M73" s="49"/>
      <c r="N73" s="49"/>
      <c r="O73" s="49"/>
      <c r="P73" s="49"/>
    </row>
    <row r="74" spans="1:16" ht="12.75" customHeight="1" x14ac:dyDescent="0.25">
      <c r="B74" s="3" t="s">
        <v>112</v>
      </c>
      <c r="E74" s="45">
        <f t="shared" ref="E74:I74" si="80">SUM(E70:E73)</f>
        <v>906.80309999999997</v>
      </c>
      <c r="F74" s="45">
        <f t="shared" si="80"/>
        <v>906.80309999999997</v>
      </c>
      <c r="G74" s="158">
        <f t="shared" si="80"/>
        <v>906.80309999999997</v>
      </c>
      <c r="H74" s="45">
        <f t="shared" si="80"/>
        <v>906.80309999999997</v>
      </c>
      <c r="I74" s="45">
        <f t="shared" si="80"/>
        <v>906.80309999999997</v>
      </c>
      <c r="J74" s="45">
        <f t="shared" ref="J74:P74" si="81">SUM(J70:J73)</f>
        <v>906.80309999999997</v>
      </c>
      <c r="K74" s="45">
        <f t="shared" si="81"/>
        <v>906.80309999999997</v>
      </c>
      <c r="L74" s="45">
        <f t="shared" si="81"/>
        <v>906.80309999999997</v>
      </c>
      <c r="M74" s="45">
        <f t="shared" si="81"/>
        <v>906.80309999999997</v>
      </c>
      <c r="N74" s="45">
        <f t="shared" si="81"/>
        <v>906.80309999999997</v>
      </c>
      <c r="O74" s="45">
        <f t="shared" si="81"/>
        <v>906.80309999999997</v>
      </c>
      <c r="P74" s="45">
        <f t="shared" si="81"/>
        <v>906.80309999999997</v>
      </c>
    </row>
    <row r="75" spans="1:16" ht="12.75" customHeight="1" x14ac:dyDescent="0.25">
      <c r="A75" s="29" t="s">
        <v>111</v>
      </c>
      <c r="E75" s="45"/>
      <c r="F75" s="45"/>
      <c r="G75" s="158"/>
      <c r="H75" s="45"/>
      <c r="I75" s="45"/>
      <c r="J75" s="45"/>
      <c r="K75" s="45"/>
      <c r="L75" s="45"/>
      <c r="M75" s="45"/>
      <c r="N75" s="45"/>
      <c r="O75" s="45"/>
      <c r="P75" s="45"/>
    </row>
    <row r="76" spans="1:16" ht="12.75" customHeight="1" x14ac:dyDescent="0.25">
      <c r="B76" s="80" t="s">
        <v>223</v>
      </c>
      <c r="E76" s="611">
        <f>'Customer Data'!P14*3*100/1000000</f>
        <v>20.196000000000002</v>
      </c>
      <c r="F76" s="45">
        <f t="shared" ref="F76:P76" si="82">F16*F56*12/1000000</f>
        <v>20.196000000000002</v>
      </c>
      <c r="G76" s="158">
        <f t="shared" si="82"/>
        <v>20.196000000000002</v>
      </c>
      <c r="H76" s="45">
        <f t="shared" si="82"/>
        <v>20.196000000000002</v>
      </c>
      <c r="I76" s="45">
        <f t="shared" si="82"/>
        <v>20.196000000000002</v>
      </c>
      <c r="J76" s="45">
        <f t="shared" si="82"/>
        <v>20.196000000000002</v>
      </c>
      <c r="K76" s="45">
        <f t="shared" si="82"/>
        <v>20.196000000000002</v>
      </c>
      <c r="L76" s="45">
        <f t="shared" si="82"/>
        <v>20.196000000000002</v>
      </c>
      <c r="M76" s="45">
        <f t="shared" si="82"/>
        <v>20.196000000000002</v>
      </c>
      <c r="N76" s="45">
        <f t="shared" si="82"/>
        <v>20.196000000000002</v>
      </c>
      <c r="O76" s="45">
        <f t="shared" si="82"/>
        <v>20.196000000000002</v>
      </c>
      <c r="P76" s="45">
        <f t="shared" si="82"/>
        <v>20.196000000000002</v>
      </c>
    </row>
    <row r="77" spans="1:16" ht="12.75" customHeight="1" x14ac:dyDescent="0.25">
      <c r="B77" s="80" t="s">
        <v>320</v>
      </c>
      <c r="E77" s="611">
        <f>'Customer Data'!P16*3*100/1000000</f>
        <v>1.7658</v>
      </c>
      <c r="F77" s="45">
        <f t="shared" ref="F77:P77" si="83">F17*F57*12/1000000</f>
        <v>1.7658</v>
      </c>
      <c r="G77" s="158">
        <f t="shared" si="83"/>
        <v>1.7658</v>
      </c>
      <c r="H77" s="45">
        <f t="shared" si="83"/>
        <v>1.7658</v>
      </c>
      <c r="I77" s="45">
        <f t="shared" si="83"/>
        <v>1.7658</v>
      </c>
      <c r="J77" s="45">
        <f t="shared" si="83"/>
        <v>1.7658</v>
      </c>
      <c r="K77" s="45">
        <f t="shared" si="83"/>
        <v>1.7658</v>
      </c>
      <c r="L77" s="45">
        <f t="shared" si="83"/>
        <v>1.7658</v>
      </c>
      <c r="M77" s="45">
        <f t="shared" si="83"/>
        <v>1.7658</v>
      </c>
      <c r="N77" s="45">
        <f t="shared" si="83"/>
        <v>1.7658</v>
      </c>
      <c r="O77" s="45">
        <f t="shared" si="83"/>
        <v>1.7658</v>
      </c>
      <c r="P77" s="45">
        <f t="shared" si="83"/>
        <v>1.7658</v>
      </c>
    </row>
    <row r="78" spans="1:16" ht="12.75" customHeight="1" x14ac:dyDescent="0.25">
      <c r="B78" s="80" t="s">
        <v>299</v>
      </c>
      <c r="E78" s="611">
        <v>0</v>
      </c>
      <c r="F78" s="45">
        <f t="shared" ref="F78:P78" si="84">F18*F58*12/1000000</f>
        <v>0</v>
      </c>
      <c r="G78" s="158">
        <f t="shared" si="84"/>
        <v>0</v>
      </c>
      <c r="H78" s="45">
        <f t="shared" si="84"/>
        <v>0</v>
      </c>
      <c r="I78" s="45">
        <f t="shared" si="84"/>
        <v>0</v>
      </c>
      <c r="J78" s="45">
        <f t="shared" si="84"/>
        <v>0</v>
      </c>
      <c r="K78" s="45">
        <f t="shared" si="84"/>
        <v>0</v>
      </c>
      <c r="L78" s="45">
        <f t="shared" si="84"/>
        <v>0</v>
      </c>
      <c r="M78" s="45">
        <f t="shared" si="84"/>
        <v>0</v>
      </c>
      <c r="N78" s="45">
        <f t="shared" si="84"/>
        <v>0</v>
      </c>
      <c r="O78" s="45">
        <f t="shared" si="84"/>
        <v>0</v>
      </c>
      <c r="P78" s="45">
        <f t="shared" si="84"/>
        <v>0</v>
      </c>
    </row>
    <row r="79" spans="1:16" ht="12.75" customHeight="1" x14ac:dyDescent="0.25">
      <c r="B79" s="22" t="s">
        <v>299</v>
      </c>
      <c r="E79" s="611">
        <v>0</v>
      </c>
      <c r="F79" s="45">
        <f t="shared" ref="F79:P79" si="85">F19*F59*12/1000000</f>
        <v>0</v>
      </c>
      <c r="G79" s="158">
        <f t="shared" si="85"/>
        <v>0</v>
      </c>
      <c r="H79" s="45">
        <f t="shared" si="85"/>
        <v>0</v>
      </c>
      <c r="I79" s="45">
        <f t="shared" si="85"/>
        <v>0</v>
      </c>
      <c r="J79" s="45">
        <f t="shared" si="85"/>
        <v>0</v>
      </c>
      <c r="K79" s="45">
        <f t="shared" si="85"/>
        <v>0</v>
      </c>
      <c r="L79" s="45">
        <f t="shared" si="85"/>
        <v>0</v>
      </c>
      <c r="M79" s="45">
        <f t="shared" si="85"/>
        <v>0</v>
      </c>
      <c r="N79" s="45">
        <f t="shared" si="85"/>
        <v>0</v>
      </c>
      <c r="O79" s="45">
        <f t="shared" si="85"/>
        <v>0</v>
      </c>
      <c r="P79" s="45">
        <f t="shared" si="85"/>
        <v>0</v>
      </c>
    </row>
    <row r="80" spans="1:16" ht="12.75" customHeight="1" x14ac:dyDescent="0.25">
      <c r="B80" s="218" t="s">
        <v>109</v>
      </c>
      <c r="C80" s="218"/>
      <c r="D80" s="218"/>
      <c r="E80" s="219">
        <f t="shared" ref="E80:I80" si="86">SUM(E76:E79)</f>
        <v>21.9618</v>
      </c>
      <c r="F80" s="219">
        <f t="shared" si="86"/>
        <v>21.9618</v>
      </c>
      <c r="G80" s="220">
        <f t="shared" si="86"/>
        <v>21.9618</v>
      </c>
      <c r="H80" s="219">
        <f t="shared" si="86"/>
        <v>21.9618</v>
      </c>
      <c r="I80" s="219">
        <f t="shared" si="86"/>
        <v>21.9618</v>
      </c>
      <c r="J80" s="219">
        <f t="shared" ref="J80:P80" si="87">SUM(J76:J79)</f>
        <v>21.9618</v>
      </c>
      <c r="K80" s="219">
        <f t="shared" si="87"/>
        <v>21.9618</v>
      </c>
      <c r="L80" s="219">
        <f t="shared" si="87"/>
        <v>21.9618</v>
      </c>
      <c r="M80" s="219">
        <f t="shared" si="87"/>
        <v>21.9618</v>
      </c>
      <c r="N80" s="219">
        <f t="shared" si="87"/>
        <v>21.9618</v>
      </c>
      <c r="O80" s="219">
        <f t="shared" si="87"/>
        <v>21.9618</v>
      </c>
      <c r="P80" s="219">
        <f t="shared" si="87"/>
        <v>21.9618</v>
      </c>
    </row>
    <row r="81" spans="1:16" ht="12.75" customHeight="1" x14ac:dyDescent="0.25">
      <c r="E81" s="45"/>
      <c r="F81" s="45"/>
      <c r="G81" s="158"/>
      <c r="H81" s="45"/>
      <c r="I81" s="45"/>
      <c r="J81" s="45"/>
      <c r="K81" s="45"/>
      <c r="L81" s="45"/>
      <c r="M81" s="45"/>
      <c r="N81" s="45"/>
      <c r="O81" s="45"/>
      <c r="P81" s="45"/>
    </row>
    <row r="82" spans="1:16" ht="12.75" customHeight="1" x14ac:dyDescent="0.25">
      <c r="A82" s="72" t="s">
        <v>106</v>
      </c>
      <c r="E82" s="25"/>
      <c r="F82" s="25"/>
      <c r="G82" s="182"/>
      <c r="H82" s="25"/>
      <c r="I82" s="25"/>
      <c r="J82" s="25"/>
      <c r="K82" s="25"/>
      <c r="L82" s="25"/>
      <c r="M82" s="25"/>
      <c r="N82" s="25"/>
      <c r="O82" s="25"/>
      <c r="P82" s="25"/>
    </row>
    <row r="83" spans="1:16" ht="12.75" customHeight="1" x14ac:dyDescent="0.25">
      <c r="B83" s="22" t="s">
        <v>86</v>
      </c>
      <c r="C83" s="22"/>
      <c r="D83" s="22"/>
      <c r="E83" s="612">
        <v>0</v>
      </c>
      <c r="F83" s="49">
        <f t="shared" ref="F83:P83" si="88">F23*F63*12/1000000</f>
        <v>0</v>
      </c>
      <c r="G83" s="189">
        <f t="shared" si="88"/>
        <v>0</v>
      </c>
      <c r="H83" s="49">
        <f t="shared" si="88"/>
        <v>0</v>
      </c>
      <c r="I83" s="49">
        <f t="shared" si="88"/>
        <v>0</v>
      </c>
      <c r="J83" s="49">
        <f t="shared" si="88"/>
        <v>0</v>
      </c>
      <c r="K83" s="49">
        <f t="shared" si="88"/>
        <v>0</v>
      </c>
      <c r="L83" s="49">
        <f t="shared" si="88"/>
        <v>0</v>
      </c>
      <c r="M83" s="49">
        <f t="shared" si="88"/>
        <v>0</v>
      </c>
      <c r="N83" s="49">
        <f t="shared" si="88"/>
        <v>0</v>
      </c>
      <c r="O83" s="49">
        <f t="shared" si="88"/>
        <v>0</v>
      </c>
      <c r="P83" s="49">
        <f t="shared" si="88"/>
        <v>0</v>
      </c>
    </row>
    <row r="84" spans="1:16" ht="12.75" customHeight="1" x14ac:dyDescent="0.25">
      <c r="B84" s="3" t="s">
        <v>104</v>
      </c>
      <c r="E84" s="45">
        <f t="shared" ref="E84:I84" si="89">SUM(E83:E83)</f>
        <v>0</v>
      </c>
      <c r="F84" s="45">
        <f t="shared" si="89"/>
        <v>0</v>
      </c>
      <c r="G84" s="158">
        <f t="shared" si="89"/>
        <v>0</v>
      </c>
      <c r="H84" s="45">
        <f t="shared" si="89"/>
        <v>0</v>
      </c>
      <c r="I84" s="45">
        <f t="shared" si="89"/>
        <v>0</v>
      </c>
      <c r="J84" s="45">
        <f t="shared" ref="J84:P84" si="90">SUM(J83:J83)</f>
        <v>0</v>
      </c>
      <c r="K84" s="45">
        <f t="shared" si="90"/>
        <v>0</v>
      </c>
      <c r="L84" s="45">
        <f t="shared" si="90"/>
        <v>0</v>
      </c>
      <c r="M84" s="45">
        <f t="shared" si="90"/>
        <v>0</v>
      </c>
      <c r="N84" s="45">
        <f t="shared" si="90"/>
        <v>0</v>
      </c>
      <c r="O84" s="45">
        <f t="shared" si="90"/>
        <v>0</v>
      </c>
      <c r="P84" s="45">
        <f t="shared" si="90"/>
        <v>0</v>
      </c>
    </row>
    <row r="85" spans="1:16" ht="12.75" customHeight="1" thickBot="1" x14ac:dyDescent="0.3">
      <c r="B85" s="32"/>
      <c r="C85" s="32"/>
      <c r="D85" s="32"/>
      <c r="E85" s="221"/>
      <c r="F85" s="221"/>
      <c r="G85" s="222"/>
      <c r="H85" s="221"/>
      <c r="I85" s="221"/>
      <c r="J85" s="221"/>
      <c r="K85" s="221"/>
      <c r="L85" s="221"/>
      <c r="M85" s="221"/>
      <c r="N85" s="221"/>
      <c r="O85" s="221"/>
      <c r="P85" s="221"/>
    </row>
    <row r="86" spans="1:16" ht="12.75" customHeight="1" thickTop="1" x14ac:dyDescent="0.25">
      <c r="B86" s="372" t="s">
        <v>250</v>
      </c>
      <c r="C86" s="29"/>
      <c r="D86" s="4" t="s">
        <v>26</v>
      </c>
      <c r="E86" s="349">
        <f t="shared" ref="E86:I86" si="91">E74+E80+E84</f>
        <v>928.76490000000001</v>
      </c>
      <c r="F86" s="349">
        <f t="shared" si="91"/>
        <v>928.76490000000001</v>
      </c>
      <c r="G86" s="350">
        <f>G74+G80+G84</f>
        <v>928.76490000000001</v>
      </c>
      <c r="H86" s="349">
        <f t="shared" si="91"/>
        <v>928.76490000000001</v>
      </c>
      <c r="I86" s="349">
        <f t="shared" si="91"/>
        <v>928.76490000000001</v>
      </c>
      <c r="J86" s="349">
        <f t="shared" ref="J86:P86" si="92">J74+J80+J84</f>
        <v>928.76490000000001</v>
      </c>
      <c r="K86" s="349">
        <f t="shared" si="92"/>
        <v>928.76490000000001</v>
      </c>
      <c r="L86" s="349">
        <f t="shared" si="92"/>
        <v>928.76490000000001</v>
      </c>
      <c r="M86" s="349">
        <f t="shared" si="92"/>
        <v>928.76490000000001</v>
      </c>
      <c r="N86" s="349">
        <f t="shared" si="92"/>
        <v>928.76490000000001</v>
      </c>
      <c r="O86" s="349">
        <f t="shared" si="92"/>
        <v>928.76490000000001</v>
      </c>
      <c r="P86" s="349">
        <f t="shared" si="92"/>
        <v>928.76490000000001</v>
      </c>
    </row>
    <row r="87" spans="1:16" ht="12.75" customHeight="1" thickBot="1" x14ac:dyDescent="0.3">
      <c r="A87" s="75"/>
      <c r="B87" s="75"/>
      <c r="C87" s="85"/>
      <c r="D87" s="85"/>
      <c r="E87" s="53"/>
      <c r="F87" s="53"/>
      <c r="G87" s="191"/>
      <c r="H87" s="53"/>
      <c r="I87" s="53"/>
      <c r="J87" s="53"/>
      <c r="K87" s="53"/>
      <c r="L87" s="53"/>
      <c r="M87" s="53"/>
      <c r="N87" s="53"/>
      <c r="O87" s="53"/>
      <c r="P87" s="53"/>
    </row>
    <row r="88" spans="1:16" ht="12.75" customHeight="1" x14ac:dyDescent="0.25">
      <c r="C88" s="29"/>
      <c r="D88" s="29"/>
      <c r="E88" s="25"/>
      <c r="F88" s="25"/>
      <c r="G88" s="25"/>
      <c r="H88" s="25"/>
      <c r="I88" s="25"/>
      <c r="J88" s="25"/>
      <c r="K88" s="25"/>
      <c r="L88" s="25"/>
      <c r="M88" s="25"/>
      <c r="N88" s="25"/>
      <c r="O88" s="25"/>
      <c r="P88" s="25"/>
    </row>
    <row r="89" spans="1:16" ht="12.75" customHeight="1" x14ac:dyDescent="0.25">
      <c r="C89" s="29"/>
      <c r="D89" s="29"/>
      <c r="E89" s="20"/>
      <c r="F89" s="25"/>
      <c r="G89" s="25"/>
      <c r="H89" s="25"/>
      <c r="I89" s="25"/>
      <c r="J89" s="25"/>
      <c r="K89" s="25"/>
      <c r="L89" s="25"/>
      <c r="M89" s="25"/>
      <c r="N89" s="25"/>
      <c r="O89" s="25"/>
      <c r="P89" s="25"/>
    </row>
    <row r="90" spans="1:16" ht="12.75" customHeight="1" x14ac:dyDescent="0.25">
      <c r="A90" s="77" t="s">
        <v>244</v>
      </c>
      <c r="C90" s="6"/>
      <c r="D90" s="6"/>
    </row>
    <row r="91" spans="1:16" ht="12.75" customHeight="1" x14ac:dyDescent="0.25">
      <c r="A91" s="77" t="s">
        <v>156</v>
      </c>
      <c r="C91" s="6"/>
      <c r="D91" s="6"/>
    </row>
    <row r="92" spans="1:16" ht="12.75" customHeight="1" x14ac:dyDescent="0.25">
      <c r="A92" s="29" t="s">
        <v>55</v>
      </c>
      <c r="C92" s="6"/>
      <c r="D92" s="6"/>
    </row>
    <row r="93" spans="1:16" ht="12.75" customHeight="1" thickBot="1" x14ac:dyDescent="0.3">
      <c r="A93" s="78" t="s">
        <v>428</v>
      </c>
      <c r="B93" s="7"/>
      <c r="C93" s="8"/>
      <c r="D93" s="8"/>
      <c r="E93" s="7"/>
      <c r="F93" s="7"/>
      <c r="G93" s="7"/>
      <c r="H93" s="7"/>
      <c r="I93" s="7"/>
      <c r="J93" s="7"/>
      <c r="K93" s="7"/>
      <c r="L93" s="7"/>
      <c r="M93" s="7"/>
      <c r="N93" s="7"/>
      <c r="O93" s="7"/>
      <c r="P93" s="7"/>
    </row>
    <row r="94" spans="1:16" ht="12.75" customHeight="1" x14ac:dyDescent="0.25">
      <c r="A94" s="646" t="s">
        <v>215</v>
      </c>
      <c r="B94" s="646"/>
      <c r="C94" s="646"/>
      <c r="D94" s="646"/>
      <c r="E94" s="215">
        <f>Sum!E$5</f>
        <v>2023</v>
      </c>
      <c r="F94" s="215">
        <f>Sum!F$5</f>
        <v>2024</v>
      </c>
      <c r="G94" s="216">
        <f>Sum!G$5</f>
        <v>2025</v>
      </c>
      <c r="H94" s="215">
        <f>Sum!H$5</f>
        <v>2026</v>
      </c>
      <c r="I94" s="215">
        <f>Sum!I$5</f>
        <v>2027</v>
      </c>
      <c r="J94" s="215">
        <f>Sum!J$5</f>
        <v>2028</v>
      </c>
      <c r="K94" s="215">
        <f>Sum!K$5</f>
        <v>2029</v>
      </c>
      <c r="L94" s="215">
        <f>Sum!L$5</f>
        <v>2030</v>
      </c>
      <c r="M94" s="215">
        <f>Sum!M$5</f>
        <v>2031</v>
      </c>
      <c r="N94" s="215">
        <f>Sum!N$5</f>
        <v>2032</v>
      </c>
      <c r="O94" s="215">
        <f>Sum!O$5</f>
        <v>2033</v>
      </c>
      <c r="P94" s="215">
        <f>Sum!P$5</f>
        <v>2034</v>
      </c>
    </row>
    <row r="95" spans="1:16" ht="12.75" customHeight="1" x14ac:dyDescent="0.25">
      <c r="A95" s="79"/>
      <c r="B95" s="10"/>
      <c r="C95" s="10"/>
      <c r="D95" s="10"/>
      <c r="E95" s="11"/>
      <c r="F95" s="11"/>
      <c r="G95" s="168"/>
      <c r="H95" s="11"/>
      <c r="I95" s="11"/>
      <c r="J95" s="11"/>
      <c r="K95" s="11"/>
      <c r="L95" s="11"/>
      <c r="M95" s="11"/>
      <c r="N95" s="11"/>
      <c r="O95" s="11"/>
      <c r="P95" s="11"/>
    </row>
    <row r="96" spans="1:16" ht="12.75" customHeight="1" x14ac:dyDescent="0.25">
      <c r="A96" s="71" t="s">
        <v>232</v>
      </c>
      <c r="B96" s="10"/>
      <c r="C96" s="10"/>
      <c r="D96" s="10"/>
      <c r="E96" s="11"/>
      <c r="F96" s="11"/>
      <c r="G96" s="168"/>
      <c r="H96" s="11"/>
      <c r="I96" s="11"/>
      <c r="J96" s="11"/>
      <c r="K96" s="11"/>
      <c r="L96" s="11"/>
      <c r="M96" s="11"/>
      <c r="N96" s="11"/>
      <c r="O96" s="11"/>
      <c r="P96" s="11"/>
    </row>
    <row r="97" spans="1:16" ht="12.75" customHeight="1" x14ac:dyDescent="0.25">
      <c r="A97" s="71" t="s">
        <v>12</v>
      </c>
      <c r="B97" s="10"/>
      <c r="C97" s="10"/>
      <c r="D97" s="10"/>
      <c r="E97" s="11"/>
      <c r="F97" s="11"/>
      <c r="G97" s="168"/>
      <c r="H97" s="11"/>
      <c r="I97" s="11"/>
      <c r="J97" s="11"/>
      <c r="K97" s="11"/>
      <c r="L97" s="11"/>
      <c r="M97" s="11"/>
      <c r="N97" s="11"/>
      <c r="O97" s="11"/>
      <c r="P97" s="11"/>
    </row>
    <row r="98" spans="1:16" ht="12.75" customHeight="1" x14ac:dyDescent="0.25">
      <c r="A98" s="80" t="s">
        <v>15</v>
      </c>
      <c r="B98" s="10"/>
      <c r="C98" s="61"/>
      <c r="D98" s="61"/>
      <c r="E98" s="11"/>
      <c r="F98" s="613">
        <v>0</v>
      </c>
      <c r="G98" s="614">
        <v>0</v>
      </c>
      <c r="H98" s="615">
        <v>0</v>
      </c>
      <c r="I98" s="615">
        <v>0</v>
      </c>
      <c r="J98" s="615">
        <v>0</v>
      </c>
      <c r="K98" s="615">
        <v>0</v>
      </c>
      <c r="L98" s="615">
        <v>0</v>
      </c>
      <c r="M98" s="615">
        <v>0</v>
      </c>
      <c r="N98" s="615">
        <v>0</v>
      </c>
      <c r="O98" s="615">
        <v>0</v>
      </c>
      <c r="P98" s="615">
        <v>0</v>
      </c>
    </row>
    <row r="99" spans="1:16" ht="12.75" customHeight="1" x14ac:dyDescent="0.25">
      <c r="A99" s="80" t="s">
        <v>342</v>
      </c>
      <c r="B99" s="10"/>
      <c r="C99" s="24"/>
      <c r="D99" s="24"/>
      <c r="E99" s="86"/>
      <c r="F99" s="613">
        <v>0</v>
      </c>
      <c r="G99" s="614">
        <v>0</v>
      </c>
      <c r="H99" s="615">
        <v>0</v>
      </c>
      <c r="I99" s="615">
        <v>0</v>
      </c>
      <c r="J99" s="615">
        <v>0</v>
      </c>
      <c r="K99" s="615">
        <v>0</v>
      </c>
      <c r="L99" s="615">
        <v>0</v>
      </c>
      <c r="M99" s="615">
        <v>0</v>
      </c>
      <c r="N99" s="615">
        <v>0</v>
      </c>
      <c r="O99" s="615">
        <v>0</v>
      </c>
      <c r="P99" s="615">
        <v>0</v>
      </c>
    </row>
    <row r="100" spans="1:16" ht="12.75" customHeight="1" x14ac:dyDescent="0.25">
      <c r="A100" s="80" t="s">
        <v>296</v>
      </c>
      <c r="B100" s="10"/>
      <c r="C100" s="24"/>
      <c r="D100" s="24"/>
      <c r="E100" s="54"/>
      <c r="F100" s="613">
        <v>0</v>
      </c>
      <c r="G100" s="614">
        <v>0</v>
      </c>
      <c r="H100" s="615">
        <v>0</v>
      </c>
      <c r="I100" s="615">
        <v>0</v>
      </c>
      <c r="J100" s="615">
        <v>0</v>
      </c>
      <c r="K100" s="615">
        <v>0</v>
      </c>
      <c r="L100" s="615">
        <v>0</v>
      </c>
      <c r="M100" s="615">
        <v>0</v>
      </c>
      <c r="N100" s="615">
        <v>0</v>
      </c>
      <c r="O100" s="615">
        <v>0</v>
      </c>
      <c r="P100" s="615">
        <v>0</v>
      </c>
    </row>
    <row r="101" spans="1:16" ht="12.75" customHeight="1" x14ac:dyDescent="0.25">
      <c r="A101" s="80" t="s">
        <v>296</v>
      </c>
      <c r="B101" s="10"/>
      <c r="C101" s="24"/>
      <c r="D101" s="24"/>
      <c r="E101" s="86"/>
      <c r="F101" s="613">
        <v>0</v>
      </c>
      <c r="G101" s="614">
        <v>0</v>
      </c>
      <c r="H101" s="615">
        <v>0</v>
      </c>
      <c r="I101" s="615">
        <v>0</v>
      </c>
      <c r="J101" s="615">
        <v>0</v>
      </c>
      <c r="K101" s="615">
        <v>0</v>
      </c>
      <c r="L101" s="615">
        <v>0</v>
      </c>
      <c r="M101" s="615">
        <v>0</v>
      </c>
      <c r="N101" s="615">
        <v>0</v>
      </c>
      <c r="O101" s="615">
        <v>0</v>
      </c>
      <c r="P101" s="615">
        <v>0</v>
      </c>
    </row>
    <row r="102" spans="1:16" ht="12.75" customHeight="1" x14ac:dyDescent="0.25">
      <c r="A102" s="71" t="s">
        <v>260</v>
      </c>
      <c r="B102" s="10"/>
      <c r="C102" s="10"/>
      <c r="D102" s="10"/>
      <c r="E102" s="11"/>
      <c r="F102" s="407"/>
      <c r="G102" s="254"/>
      <c r="H102" s="252"/>
      <c r="I102" s="252"/>
      <c r="J102" s="252"/>
      <c r="K102" s="252"/>
      <c r="L102" s="252"/>
      <c r="M102" s="252"/>
      <c r="N102" s="252"/>
      <c r="O102" s="252"/>
      <c r="P102" s="252"/>
    </row>
    <row r="103" spans="1:16" ht="12.75" customHeight="1" x14ac:dyDescent="0.25">
      <c r="A103" s="80" t="s">
        <v>15</v>
      </c>
      <c r="B103" s="10"/>
      <c r="C103" s="61"/>
      <c r="D103" s="61"/>
      <c r="E103" s="11"/>
      <c r="F103" s="406">
        <v>0</v>
      </c>
      <c r="G103" s="253">
        <v>0</v>
      </c>
      <c r="H103" s="251">
        <f t="shared" ref="H103:I106" si="93">G103</f>
        <v>0</v>
      </c>
      <c r="I103" s="251">
        <f t="shared" si="93"/>
        <v>0</v>
      </c>
      <c r="J103" s="251">
        <f t="shared" ref="J103:J106" si="94">I103</f>
        <v>0</v>
      </c>
      <c r="K103" s="251">
        <f t="shared" ref="K103:K106" si="95">J103</f>
        <v>0</v>
      </c>
      <c r="L103" s="251">
        <f t="shared" ref="L103:L106" si="96">K103</f>
        <v>0</v>
      </c>
      <c r="M103" s="251">
        <f t="shared" ref="M103:M106" si="97">L103</f>
        <v>0</v>
      </c>
      <c r="N103" s="251">
        <f t="shared" ref="N103:N106" si="98">M103</f>
        <v>0</v>
      </c>
      <c r="O103" s="251">
        <f t="shared" ref="O103:O106" si="99">N103</f>
        <v>0</v>
      </c>
      <c r="P103" s="251">
        <f t="shared" ref="P103:P106" si="100">O103</f>
        <v>0</v>
      </c>
    </row>
    <row r="104" spans="1:16" ht="12.75" customHeight="1" x14ac:dyDescent="0.25">
      <c r="A104" s="80" t="s">
        <v>342</v>
      </c>
      <c r="B104" s="10"/>
      <c r="C104" s="24"/>
      <c r="D104" s="24"/>
      <c r="E104" s="86"/>
      <c r="F104" s="406">
        <v>0</v>
      </c>
      <c r="G104" s="253">
        <f>G99</f>
        <v>0</v>
      </c>
      <c r="H104" s="251">
        <f t="shared" si="93"/>
        <v>0</v>
      </c>
      <c r="I104" s="251">
        <f t="shared" si="93"/>
        <v>0</v>
      </c>
      <c r="J104" s="251">
        <f t="shared" si="94"/>
        <v>0</v>
      </c>
      <c r="K104" s="251">
        <f t="shared" si="95"/>
        <v>0</v>
      </c>
      <c r="L104" s="251">
        <f t="shared" si="96"/>
        <v>0</v>
      </c>
      <c r="M104" s="251">
        <f t="shared" si="97"/>
        <v>0</v>
      </c>
      <c r="N104" s="251">
        <f t="shared" si="98"/>
        <v>0</v>
      </c>
      <c r="O104" s="251">
        <f t="shared" si="99"/>
        <v>0</v>
      </c>
      <c r="P104" s="251">
        <f t="shared" si="100"/>
        <v>0</v>
      </c>
    </row>
    <row r="105" spans="1:16" ht="12.75" customHeight="1" x14ac:dyDescent="0.25">
      <c r="A105" s="80" t="s">
        <v>296</v>
      </c>
      <c r="B105" s="10"/>
      <c r="C105" s="24"/>
      <c r="D105" s="24"/>
      <c r="E105" s="54"/>
      <c r="F105" s="406">
        <v>0</v>
      </c>
      <c r="G105" s="253">
        <v>0</v>
      </c>
      <c r="H105" s="251">
        <f t="shared" si="93"/>
        <v>0</v>
      </c>
      <c r="I105" s="251">
        <f t="shared" si="93"/>
        <v>0</v>
      </c>
      <c r="J105" s="251">
        <f t="shared" si="94"/>
        <v>0</v>
      </c>
      <c r="K105" s="251">
        <f t="shared" si="95"/>
        <v>0</v>
      </c>
      <c r="L105" s="251">
        <f t="shared" si="96"/>
        <v>0</v>
      </c>
      <c r="M105" s="251">
        <f t="shared" si="97"/>
        <v>0</v>
      </c>
      <c r="N105" s="251">
        <f t="shared" si="98"/>
        <v>0</v>
      </c>
      <c r="O105" s="251">
        <f t="shared" si="99"/>
        <v>0</v>
      </c>
      <c r="P105" s="251">
        <f t="shared" si="100"/>
        <v>0</v>
      </c>
    </row>
    <row r="106" spans="1:16" ht="12.75" customHeight="1" x14ac:dyDescent="0.25">
      <c r="A106" s="80" t="s">
        <v>296</v>
      </c>
      <c r="B106" s="10"/>
      <c r="C106" s="24"/>
      <c r="D106" s="24"/>
      <c r="E106" s="86"/>
      <c r="F106" s="406">
        <v>0</v>
      </c>
      <c r="G106" s="253">
        <v>0</v>
      </c>
      <c r="H106" s="251">
        <f t="shared" si="93"/>
        <v>0</v>
      </c>
      <c r="I106" s="251">
        <f t="shared" si="93"/>
        <v>0</v>
      </c>
      <c r="J106" s="251">
        <f t="shared" si="94"/>
        <v>0</v>
      </c>
      <c r="K106" s="251">
        <f t="shared" si="95"/>
        <v>0</v>
      </c>
      <c r="L106" s="251">
        <f t="shared" si="96"/>
        <v>0</v>
      </c>
      <c r="M106" s="251">
        <f t="shared" si="97"/>
        <v>0</v>
      </c>
      <c r="N106" s="251">
        <f t="shared" si="98"/>
        <v>0</v>
      </c>
      <c r="O106" s="251">
        <f t="shared" si="99"/>
        <v>0</v>
      </c>
      <c r="P106" s="251">
        <f t="shared" si="100"/>
        <v>0</v>
      </c>
    </row>
    <row r="107" spans="1:16" ht="12.75" customHeight="1" x14ac:dyDescent="0.25">
      <c r="A107" s="72" t="s">
        <v>29</v>
      </c>
      <c r="B107" s="99"/>
      <c r="C107" s="99"/>
      <c r="D107" s="99"/>
      <c r="E107" s="54"/>
      <c r="F107" s="408"/>
      <c r="G107" s="170"/>
      <c r="H107" s="252"/>
      <c r="I107" s="252"/>
      <c r="J107" s="252"/>
      <c r="K107" s="252"/>
      <c r="L107" s="252"/>
      <c r="M107" s="252"/>
      <c r="N107" s="252"/>
      <c r="O107" s="252"/>
      <c r="P107" s="252"/>
    </row>
    <row r="108" spans="1:16" ht="12.75" customHeight="1" x14ac:dyDescent="0.25">
      <c r="A108" s="74" t="s">
        <v>85</v>
      </c>
      <c r="B108" s="99"/>
      <c r="C108" s="99"/>
      <c r="D108" s="99"/>
      <c r="E108" s="54"/>
      <c r="F108" s="409">
        <v>0</v>
      </c>
      <c r="G108" s="163">
        <f t="shared" ref="G108:I108" si="101">F108</f>
        <v>0</v>
      </c>
      <c r="H108" s="251">
        <f t="shared" si="101"/>
        <v>0</v>
      </c>
      <c r="I108" s="251">
        <f t="shared" si="101"/>
        <v>0</v>
      </c>
      <c r="J108" s="251">
        <f t="shared" ref="J108" si="102">I108</f>
        <v>0</v>
      </c>
      <c r="K108" s="251">
        <f t="shared" ref="K108" si="103">J108</f>
        <v>0</v>
      </c>
      <c r="L108" s="251">
        <f t="shared" ref="L108" si="104">K108</f>
        <v>0</v>
      </c>
      <c r="M108" s="251">
        <f t="shared" ref="M108" si="105">L108</f>
        <v>0</v>
      </c>
      <c r="N108" s="251">
        <f t="shared" ref="N108" si="106">M108</f>
        <v>0</v>
      </c>
      <c r="O108" s="251">
        <f t="shared" ref="O108" si="107">N108</f>
        <v>0</v>
      </c>
      <c r="P108" s="251">
        <f t="shared" ref="P108" si="108">O108</f>
        <v>0</v>
      </c>
    </row>
    <row r="109" spans="1:16" ht="12.75" customHeight="1" x14ac:dyDescent="0.25">
      <c r="B109" s="99"/>
      <c r="C109" s="99"/>
      <c r="D109" s="99"/>
      <c r="E109" s="54"/>
      <c r="F109" s="54"/>
      <c r="G109" s="170"/>
      <c r="H109" s="54"/>
      <c r="I109" s="54"/>
      <c r="J109" s="54"/>
      <c r="K109" s="54"/>
      <c r="L109" s="54"/>
      <c r="M109" s="54"/>
      <c r="N109" s="54"/>
      <c r="O109" s="54"/>
      <c r="P109" s="54"/>
    </row>
    <row r="110" spans="1:16" ht="12.75" customHeight="1" x14ac:dyDescent="0.25">
      <c r="A110" s="71" t="s">
        <v>233</v>
      </c>
      <c r="B110" s="10"/>
      <c r="C110" s="24"/>
      <c r="D110" s="24"/>
      <c r="E110" s="86"/>
      <c r="F110" s="86"/>
      <c r="G110" s="171"/>
      <c r="H110" s="86"/>
      <c r="I110" s="86"/>
      <c r="J110" s="86"/>
      <c r="K110" s="86"/>
      <c r="L110" s="86"/>
      <c r="M110" s="86"/>
      <c r="N110" s="86"/>
      <c r="O110" s="86"/>
      <c r="P110" s="86"/>
    </row>
    <row r="111" spans="1:16" ht="12.75" customHeight="1" x14ac:dyDescent="0.25">
      <c r="A111" s="71" t="s">
        <v>12</v>
      </c>
      <c r="B111" s="10"/>
      <c r="C111" s="24"/>
      <c r="D111" s="24"/>
      <c r="E111" s="86"/>
      <c r="F111" s="86"/>
      <c r="G111" s="171"/>
      <c r="H111" s="86"/>
      <c r="I111" s="86"/>
      <c r="J111" s="86"/>
      <c r="K111" s="86"/>
      <c r="L111" s="86"/>
      <c r="M111" s="86"/>
      <c r="N111" s="86"/>
      <c r="O111" s="86"/>
      <c r="P111" s="86"/>
    </row>
    <row r="112" spans="1:16" ht="12.75" customHeight="1" x14ac:dyDescent="0.25">
      <c r="A112" s="80" t="s">
        <v>15</v>
      </c>
      <c r="B112" s="10"/>
      <c r="C112" s="61"/>
      <c r="D112" s="61"/>
      <c r="E112" s="86"/>
      <c r="F112" s="251">
        <v>0</v>
      </c>
      <c r="G112" s="253">
        <v>0</v>
      </c>
      <c r="H112" s="251">
        <v>0</v>
      </c>
      <c r="I112" s="251">
        <f t="shared" ref="H112:I115" si="109">H112</f>
        <v>0</v>
      </c>
      <c r="J112" s="251">
        <f t="shared" ref="J112:J113" si="110">I112</f>
        <v>0</v>
      </c>
      <c r="K112" s="251">
        <f t="shared" ref="K112:K113" si="111">J112</f>
        <v>0</v>
      </c>
      <c r="L112" s="251">
        <f t="shared" ref="L112:L113" si="112">K112</f>
        <v>0</v>
      </c>
      <c r="M112" s="251">
        <f t="shared" ref="M112:M113" si="113">L112</f>
        <v>0</v>
      </c>
      <c r="N112" s="251">
        <f t="shared" ref="N112:N113" si="114">M112</f>
        <v>0</v>
      </c>
      <c r="O112" s="251">
        <f t="shared" ref="O112:O113" si="115">N112</f>
        <v>0</v>
      </c>
      <c r="P112" s="251">
        <f t="shared" ref="P112:P113" si="116">O112</f>
        <v>0</v>
      </c>
    </row>
    <row r="113" spans="1:16" ht="12.75" customHeight="1" x14ac:dyDescent="0.25">
      <c r="A113" s="80" t="s">
        <v>342</v>
      </c>
      <c r="B113" s="10"/>
      <c r="C113" s="24"/>
      <c r="D113" s="24"/>
      <c r="E113" s="86"/>
      <c r="F113" s="251">
        <v>0</v>
      </c>
      <c r="G113" s="253">
        <v>0</v>
      </c>
      <c r="H113" s="251">
        <v>0</v>
      </c>
      <c r="I113" s="251">
        <f t="shared" si="109"/>
        <v>0</v>
      </c>
      <c r="J113" s="251">
        <f t="shared" si="110"/>
        <v>0</v>
      </c>
      <c r="K113" s="251">
        <f t="shared" si="111"/>
        <v>0</v>
      </c>
      <c r="L113" s="251">
        <f t="shared" si="112"/>
        <v>0</v>
      </c>
      <c r="M113" s="251">
        <f t="shared" si="113"/>
        <v>0</v>
      </c>
      <c r="N113" s="251">
        <f t="shared" si="114"/>
        <v>0</v>
      </c>
      <c r="O113" s="251">
        <f t="shared" si="115"/>
        <v>0</v>
      </c>
      <c r="P113" s="251">
        <f t="shared" si="116"/>
        <v>0</v>
      </c>
    </row>
    <row r="114" spans="1:16" ht="12.75" customHeight="1" x14ac:dyDescent="0.25">
      <c r="A114" s="80" t="s">
        <v>296</v>
      </c>
      <c r="B114" s="10"/>
      <c r="C114" s="24"/>
      <c r="D114" s="24"/>
      <c r="E114" s="54"/>
      <c r="F114" s="251">
        <v>0</v>
      </c>
      <c r="G114" s="253">
        <v>0</v>
      </c>
      <c r="H114" s="251">
        <v>0</v>
      </c>
      <c r="I114" s="251">
        <v>0</v>
      </c>
      <c r="J114" s="251">
        <v>0</v>
      </c>
      <c r="K114" s="251">
        <v>0</v>
      </c>
      <c r="L114" s="251">
        <v>0</v>
      </c>
      <c r="M114" s="251">
        <v>0</v>
      </c>
      <c r="N114" s="251">
        <v>0</v>
      </c>
      <c r="O114" s="251">
        <v>0</v>
      </c>
      <c r="P114" s="251">
        <v>0</v>
      </c>
    </row>
    <row r="115" spans="1:16" ht="12.75" customHeight="1" x14ac:dyDescent="0.25">
      <c r="A115" s="80" t="s">
        <v>296</v>
      </c>
      <c r="B115" s="10"/>
      <c r="C115" s="24"/>
      <c r="D115" s="24"/>
      <c r="E115" s="86"/>
      <c r="F115" s="251">
        <v>0</v>
      </c>
      <c r="G115" s="253">
        <v>0</v>
      </c>
      <c r="H115" s="251">
        <f t="shared" si="109"/>
        <v>0</v>
      </c>
      <c r="I115" s="251">
        <f t="shared" si="109"/>
        <v>0</v>
      </c>
      <c r="J115" s="251">
        <f t="shared" ref="J115" si="117">I115</f>
        <v>0</v>
      </c>
      <c r="K115" s="251">
        <f t="shared" ref="K115" si="118">J115</f>
        <v>0</v>
      </c>
      <c r="L115" s="251">
        <f t="shared" ref="L115" si="119">K115</f>
        <v>0</v>
      </c>
      <c r="M115" s="251">
        <f t="shared" ref="M115" si="120">L115</f>
        <v>0</v>
      </c>
      <c r="N115" s="251">
        <f t="shared" ref="N115" si="121">M115</f>
        <v>0</v>
      </c>
      <c r="O115" s="251">
        <f t="shared" ref="O115" si="122">N115</f>
        <v>0</v>
      </c>
      <c r="P115" s="251">
        <f t="shared" ref="P115" si="123">O115</f>
        <v>0</v>
      </c>
    </row>
    <row r="116" spans="1:16" ht="12.75" customHeight="1" x14ac:dyDescent="0.25">
      <c r="A116" s="71" t="s">
        <v>260</v>
      </c>
      <c r="B116" s="10"/>
      <c r="C116" s="24"/>
      <c r="D116" s="24"/>
      <c r="E116" s="86"/>
      <c r="F116" s="86"/>
      <c r="G116" s="254"/>
      <c r="H116" s="252"/>
      <c r="I116" s="252"/>
      <c r="J116" s="252"/>
      <c r="K116" s="252"/>
      <c r="L116" s="252"/>
      <c r="M116" s="252"/>
      <c r="N116" s="252"/>
      <c r="O116" s="252"/>
      <c r="P116" s="252"/>
    </row>
    <row r="117" spans="1:16" ht="12.75" customHeight="1" x14ac:dyDescent="0.25">
      <c r="A117" s="80" t="s">
        <v>15</v>
      </c>
      <c r="B117" s="10"/>
      <c r="C117" s="61"/>
      <c r="D117" s="61"/>
      <c r="E117" s="86"/>
      <c r="F117" s="251">
        <f>F$112</f>
        <v>0</v>
      </c>
      <c r="G117" s="253">
        <v>0</v>
      </c>
      <c r="H117" s="251">
        <v>0</v>
      </c>
      <c r="I117" s="251">
        <f t="shared" ref="I117:I120" si="124">H117</f>
        <v>0</v>
      </c>
      <c r="J117" s="251">
        <f t="shared" ref="J117:J120" si="125">I117</f>
        <v>0</v>
      </c>
      <c r="K117" s="251">
        <f t="shared" ref="K117:K120" si="126">J117</f>
        <v>0</v>
      </c>
      <c r="L117" s="251">
        <f t="shared" ref="L117:L120" si="127">K117</f>
        <v>0</v>
      </c>
      <c r="M117" s="251">
        <f t="shared" ref="M117:M120" si="128">L117</f>
        <v>0</v>
      </c>
      <c r="N117" s="251">
        <f t="shared" ref="N117:N120" si="129">M117</f>
        <v>0</v>
      </c>
      <c r="O117" s="251">
        <f t="shared" ref="O117:O120" si="130">N117</f>
        <v>0</v>
      </c>
      <c r="P117" s="251">
        <f t="shared" ref="P117:P120" si="131">O117</f>
        <v>0</v>
      </c>
    </row>
    <row r="118" spans="1:16" ht="12.75" customHeight="1" x14ac:dyDescent="0.25">
      <c r="A118" s="80" t="s">
        <v>342</v>
      </c>
      <c r="B118" s="10"/>
      <c r="C118" s="24"/>
      <c r="D118" s="24"/>
      <c r="E118" s="86"/>
      <c r="F118" s="251">
        <f>F$112</f>
        <v>0</v>
      </c>
      <c r="G118" s="253">
        <v>0</v>
      </c>
      <c r="H118" s="251">
        <v>0</v>
      </c>
      <c r="I118" s="251">
        <f t="shared" si="124"/>
        <v>0</v>
      </c>
      <c r="J118" s="251">
        <f t="shared" si="125"/>
        <v>0</v>
      </c>
      <c r="K118" s="251">
        <f t="shared" si="126"/>
        <v>0</v>
      </c>
      <c r="L118" s="251">
        <f t="shared" si="127"/>
        <v>0</v>
      </c>
      <c r="M118" s="251">
        <f t="shared" si="128"/>
        <v>0</v>
      </c>
      <c r="N118" s="251">
        <f t="shared" si="129"/>
        <v>0</v>
      </c>
      <c r="O118" s="251">
        <f t="shared" si="130"/>
        <v>0</v>
      </c>
      <c r="P118" s="251">
        <f t="shared" si="131"/>
        <v>0</v>
      </c>
    </row>
    <row r="119" spans="1:16" ht="12.75" customHeight="1" x14ac:dyDescent="0.25">
      <c r="A119" s="80" t="s">
        <v>296</v>
      </c>
      <c r="B119" s="10"/>
      <c r="C119" s="24"/>
      <c r="D119" s="24"/>
      <c r="E119" s="54"/>
      <c r="F119" s="251">
        <f>F$112</f>
        <v>0</v>
      </c>
      <c r="G119" s="253">
        <v>0</v>
      </c>
      <c r="H119" s="251">
        <v>0</v>
      </c>
      <c r="I119" s="251">
        <f t="shared" si="124"/>
        <v>0</v>
      </c>
      <c r="J119" s="251">
        <f t="shared" si="125"/>
        <v>0</v>
      </c>
      <c r="K119" s="251">
        <f t="shared" si="126"/>
        <v>0</v>
      </c>
      <c r="L119" s="251">
        <f t="shared" si="127"/>
        <v>0</v>
      </c>
      <c r="M119" s="251">
        <f t="shared" si="128"/>
        <v>0</v>
      </c>
      <c r="N119" s="251">
        <f t="shared" si="129"/>
        <v>0</v>
      </c>
      <c r="O119" s="251">
        <f t="shared" si="130"/>
        <v>0</v>
      </c>
      <c r="P119" s="251">
        <f t="shared" si="131"/>
        <v>0</v>
      </c>
    </row>
    <row r="120" spans="1:16" ht="12.75" customHeight="1" x14ac:dyDescent="0.25">
      <c r="A120" s="80" t="s">
        <v>296</v>
      </c>
      <c r="B120" s="10"/>
      <c r="C120" s="24"/>
      <c r="D120" s="24"/>
      <c r="E120" s="86"/>
      <c r="F120" s="251">
        <f>F$112</f>
        <v>0</v>
      </c>
      <c r="G120" s="253">
        <v>0</v>
      </c>
      <c r="H120" s="251">
        <v>0</v>
      </c>
      <c r="I120" s="251">
        <f t="shared" si="124"/>
        <v>0</v>
      </c>
      <c r="J120" s="251">
        <f t="shared" si="125"/>
        <v>0</v>
      </c>
      <c r="K120" s="251">
        <f t="shared" si="126"/>
        <v>0</v>
      </c>
      <c r="L120" s="251">
        <f t="shared" si="127"/>
        <v>0</v>
      </c>
      <c r="M120" s="251">
        <f t="shared" si="128"/>
        <v>0</v>
      </c>
      <c r="N120" s="251">
        <f t="shared" si="129"/>
        <v>0</v>
      </c>
      <c r="O120" s="251">
        <f t="shared" si="130"/>
        <v>0</v>
      </c>
      <c r="P120" s="251">
        <f t="shared" si="131"/>
        <v>0</v>
      </c>
    </row>
    <row r="121" spans="1:16" ht="12.75" customHeight="1" x14ac:dyDescent="0.25">
      <c r="A121" s="72" t="s">
        <v>29</v>
      </c>
      <c r="B121" s="99"/>
      <c r="C121" s="99"/>
      <c r="D121" s="99"/>
      <c r="E121" s="54"/>
      <c r="F121" s="54"/>
      <c r="G121" s="254"/>
      <c r="H121" s="252"/>
      <c r="I121" s="252"/>
      <c r="J121" s="252"/>
      <c r="K121" s="252"/>
      <c r="L121" s="252"/>
      <c r="M121" s="252"/>
      <c r="N121" s="252"/>
      <c r="O121" s="252"/>
      <c r="P121" s="252"/>
    </row>
    <row r="122" spans="1:16" ht="12.75" customHeight="1" x14ac:dyDescent="0.25">
      <c r="A122" s="74" t="s">
        <v>85</v>
      </c>
      <c r="B122" s="99"/>
      <c r="C122" s="99"/>
      <c r="D122" s="99"/>
      <c r="E122" s="54"/>
      <c r="F122" s="251">
        <f>F$112</f>
        <v>0</v>
      </c>
      <c r="G122" s="253">
        <f>F122</f>
        <v>0</v>
      </c>
      <c r="H122" s="251">
        <f>G122</f>
        <v>0</v>
      </c>
      <c r="I122" s="251">
        <f>H122</f>
        <v>0</v>
      </c>
      <c r="J122" s="251">
        <f t="shared" ref="J122:P122" si="132">I122</f>
        <v>0</v>
      </c>
      <c r="K122" s="251">
        <f t="shared" si="132"/>
        <v>0</v>
      </c>
      <c r="L122" s="251">
        <f t="shared" si="132"/>
        <v>0</v>
      </c>
      <c r="M122" s="251">
        <f t="shared" si="132"/>
        <v>0</v>
      </c>
      <c r="N122" s="251">
        <f t="shared" si="132"/>
        <v>0</v>
      </c>
      <c r="O122" s="251">
        <f t="shared" si="132"/>
        <v>0</v>
      </c>
      <c r="P122" s="251">
        <f t="shared" si="132"/>
        <v>0</v>
      </c>
    </row>
    <row r="123" spans="1:16" ht="12.75" customHeight="1" thickBot="1" x14ac:dyDescent="0.3">
      <c r="A123" s="81"/>
      <c r="B123" s="27"/>
      <c r="C123" s="27"/>
      <c r="D123" s="27"/>
      <c r="E123" s="26"/>
      <c r="F123" s="26"/>
      <c r="G123" s="169"/>
      <c r="H123" s="26"/>
      <c r="I123" s="26"/>
      <c r="J123" s="26"/>
      <c r="K123" s="26"/>
      <c r="L123" s="26"/>
      <c r="M123" s="26"/>
      <c r="N123" s="26"/>
      <c r="O123" s="26"/>
      <c r="P123" s="26"/>
    </row>
    <row r="124" spans="1:16" ht="12.75" customHeight="1" x14ac:dyDescent="0.25">
      <c r="A124" s="79"/>
      <c r="B124" s="10"/>
      <c r="C124" s="10"/>
      <c r="D124" s="10"/>
      <c r="E124" s="11"/>
      <c r="F124" s="11"/>
      <c r="G124" s="428"/>
      <c r="H124" s="11"/>
      <c r="I124" s="11"/>
      <c r="J124" s="11"/>
      <c r="K124" s="11"/>
      <c r="L124" s="11"/>
      <c r="M124" s="11"/>
      <c r="N124" s="11"/>
      <c r="O124" s="11"/>
      <c r="P124" s="11"/>
    </row>
    <row r="125" spans="1:16" ht="12.75" customHeight="1" x14ac:dyDescent="0.25">
      <c r="A125" s="79"/>
      <c r="B125" s="10"/>
      <c r="C125" s="10"/>
      <c r="D125" s="10"/>
      <c r="E125" s="11"/>
      <c r="F125" s="11"/>
      <c r="G125" s="11"/>
      <c r="H125" s="11"/>
      <c r="I125" s="11"/>
      <c r="J125" s="11"/>
      <c r="K125" s="11"/>
      <c r="L125" s="11"/>
      <c r="M125" s="11"/>
      <c r="N125" s="11"/>
      <c r="O125" s="11"/>
      <c r="P125" s="11"/>
    </row>
    <row r="126" spans="1:16" ht="12.75" customHeight="1" x14ac:dyDescent="0.25">
      <c r="A126" s="29" t="s">
        <v>150</v>
      </c>
      <c r="B126" s="29"/>
      <c r="C126" s="29"/>
      <c r="D126" s="29"/>
    </row>
    <row r="127" spans="1:16" ht="12.75" customHeight="1" x14ac:dyDescent="0.25">
      <c r="A127" s="29" t="s">
        <v>333</v>
      </c>
      <c r="B127" s="29"/>
      <c r="C127" s="29"/>
      <c r="D127" s="29"/>
    </row>
    <row r="128" spans="1:16" ht="12.75" customHeight="1" x14ac:dyDescent="0.25">
      <c r="A128" s="29" t="s">
        <v>55</v>
      </c>
      <c r="B128" s="29"/>
      <c r="C128" s="29"/>
      <c r="D128" s="29"/>
    </row>
    <row r="129" spans="1:16" ht="12.75" customHeight="1" thickBot="1" x14ac:dyDescent="0.3">
      <c r="A129" s="78" t="s">
        <v>428</v>
      </c>
      <c r="B129" s="21"/>
      <c r="C129" s="44"/>
      <c r="D129" s="44"/>
      <c r="E129" s="7"/>
      <c r="F129" s="7"/>
      <c r="G129" s="7"/>
      <c r="H129" s="7"/>
      <c r="I129" s="7"/>
      <c r="J129" s="7"/>
      <c r="K129" s="7"/>
      <c r="L129" s="7"/>
      <c r="M129" s="7"/>
      <c r="N129" s="7"/>
      <c r="O129" s="7"/>
      <c r="P129" s="7"/>
    </row>
    <row r="130" spans="1:16" ht="12.75" customHeight="1" x14ac:dyDescent="0.25">
      <c r="A130" s="646" t="s">
        <v>215</v>
      </c>
      <c r="B130" s="646"/>
      <c r="C130" s="646"/>
      <c r="D130" s="646"/>
      <c r="E130" s="215">
        <f>Sum!E$5</f>
        <v>2023</v>
      </c>
      <c r="F130" s="215">
        <f>Sum!F$5</f>
        <v>2024</v>
      </c>
      <c r="G130" s="216">
        <f>Sum!G$5</f>
        <v>2025</v>
      </c>
      <c r="H130" s="215">
        <f>Sum!H$5</f>
        <v>2026</v>
      </c>
      <c r="I130" s="215">
        <f>Sum!I$5</f>
        <v>2027</v>
      </c>
      <c r="J130" s="215">
        <f>Sum!J$5</f>
        <v>2028</v>
      </c>
      <c r="K130" s="215">
        <f>Sum!K$5</f>
        <v>2029</v>
      </c>
      <c r="L130" s="215">
        <f>Sum!L$5</f>
        <v>2030</v>
      </c>
      <c r="M130" s="215">
        <f>Sum!M$5</f>
        <v>2031</v>
      </c>
      <c r="N130" s="215">
        <f>Sum!N$5</f>
        <v>2032</v>
      </c>
      <c r="O130" s="215">
        <f>Sum!O$5</f>
        <v>2033</v>
      </c>
      <c r="P130" s="215">
        <f>Sum!P$5</f>
        <v>2034</v>
      </c>
    </row>
    <row r="131" spans="1:16" ht="12.75" customHeight="1" x14ac:dyDescent="0.25">
      <c r="A131" s="16"/>
      <c r="B131" s="16"/>
      <c r="C131" s="16"/>
      <c r="D131" s="16"/>
      <c r="E131" s="120"/>
      <c r="F131" s="120"/>
      <c r="G131" s="178"/>
      <c r="H131" s="120"/>
      <c r="I131" s="120"/>
      <c r="J131" s="120"/>
      <c r="K131" s="120"/>
      <c r="L131" s="120"/>
      <c r="M131" s="120"/>
      <c r="N131" s="120"/>
      <c r="O131" s="120"/>
      <c r="P131" s="120"/>
    </row>
    <row r="132" spans="1:16" ht="12.75" customHeight="1" x14ac:dyDescent="0.25">
      <c r="A132" s="77" t="s">
        <v>13</v>
      </c>
      <c r="B132" s="16"/>
      <c r="C132" s="16"/>
      <c r="D132" s="16"/>
      <c r="E132" s="120"/>
      <c r="F132" s="120"/>
      <c r="G132" s="178"/>
      <c r="H132" s="120"/>
      <c r="I132" s="120"/>
      <c r="J132" s="120"/>
      <c r="K132" s="120"/>
      <c r="L132" s="120"/>
      <c r="M132" s="120"/>
      <c r="N132" s="120"/>
      <c r="O132" s="120"/>
      <c r="P132" s="120"/>
    </row>
    <row r="133" spans="1:16" ht="12.75" customHeight="1" x14ac:dyDescent="0.25">
      <c r="A133" s="29" t="s">
        <v>216</v>
      </c>
      <c r="B133" s="29"/>
      <c r="G133" s="151"/>
    </row>
    <row r="134" spans="1:16" ht="12.75" customHeight="1" x14ac:dyDescent="0.25">
      <c r="A134" s="41"/>
      <c r="B134" s="315">
        <f>B223</f>
        <v>0</v>
      </c>
      <c r="C134" s="315">
        <f>C223</f>
        <v>3000</v>
      </c>
      <c r="D134" s="41"/>
      <c r="E134" s="622">
        <v>0.4</v>
      </c>
      <c r="F134" s="236">
        <f t="shared" ref="F134:F140" si="133">E134</f>
        <v>0.4</v>
      </c>
      <c r="G134" s="237">
        <f t="shared" ref="G134:I134" si="134">F134</f>
        <v>0.4</v>
      </c>
      <c r="H134" s="236">
        <f t="shared" si="134"/>
        <v>0.4</v>
      </c>
      <c r="I134" s="236">
        <f t="shared" si="134"/>
        <v>0.4</v>
      </c>
      <c r="J134" s="236">
        <f t="shared" ref="J134:J140" si="135">I134</f>
        <v>0.4</v>
      </c>
      <c r="K134" s="236">
        <f t="shared" ref="K134:K140" si="136">J134</f>
        <v>0.4</v>
      </c>
      <c r="L134" s="236">
        <f t="shared" ref="L134:L140" si="137">K134</f>
        <v>0.4</v>
      </c>
      <c r="M134" s="236">
        <f t="shared" ref="M134:M140" si="138">L134</f>
        <v>0.4</v>
      </c>
      <c r="N134" s="236">
        <f t="shared" ref="N134:N140" si="139">M134</f>
        <v>0.4</v>
      </c>
      <c r="O134" s="236">
        <f t="shared" ref="O134:O140" si="140">N134</f>
        <v>0.4</v>
      </c>
      <c r="P134" s="236">
        <f t="shared" ref="P134:P140" si="141">O134</f>
        <v>0.4</v>
      </c>
    </row>
    <row r="135" spans="1:16" ht="12.75" customHeight="1" x14ac:dyDescent="0.25">
      <c r="A135" s="41"/>
      <c r="B135" s="315">
        <f t="shared" ref="B135:C135" si="142">B224</f>
        <v>3001</v>
      </c>
      <c r="C135" s="315">
        <f t="shared" si="142"/>
        <v>99999999</v>
      </c>
      <c r="D135" s="41"/>
      <c r="E135" s="622">
        <v>0.6</v>
      </c>
      <c r="F135" s="236">
        <f t="shared" si="133"/>
        <v>0.6</v>
      </c>
      <c r="G135" s="237">
        <f t="shared" ref="G135:I135" si="143">F135</f>
        <v>0.6</v>
      </c>
      <c r="H135" s="236">
        <f t="shared" si="143"/>
        <v>0.6</v>
      </c>
      <c r="I135" s="236">
        <f t="shared" si="143"/>
        <v>0.6</v>
      </c>
      <c r="J135" s="236">
        <f t="shared" si="135"/>
        <v>0.6</v>
      </c>
      <c r="K135" s="236">
        <f t="shared" si="136"/>
        <v>0.6</v>
      </c>
      <c r="L135" s="236">
        <f t="shared" si="137"/>
        <v>0.6</v>
      </c>
      <c r="M135" s="236">
        <f t="shared" si="138"/>
        <v>0.6</v>
      </c>
      <c r="N135" s="236">
        <f t="shared" si="139"/>
        <v>0.6</v>
      </c>
      <c r="O135" s="236">
        <f t="shared" si="140"/>
        <v>0.6</v>
      </c>
      <c r="P135" s="236">
        <f t="shared" si="141"/>
        <v>0.6</v>
      </c>
    </row>
    <row r="136" spans="1:16" ht="12.75" customHeight="1" x14ac:dyDescent="0.25">
      <c r="A136" s="41"/>
      <c r="B136" s="315">
        <f t="shared" ref="B136:C136" si="144">B225</f>
        <v>0</v>
      </c>
      <c r="C136" s="315">
        <f t="shared" si="144"/>
        <v>0</v>
      </c>
      <c r="D136" s="41"/>
      <c r="E136" s="622">
        <v>0</v>
      </c>
      <c r="F136" s="236">
        <f t="shared" si="133"/>
        <v>0</v>
      </c>
      <c r="G136" s="237">
        <f t="shared" ref="G136:I136" si="145">F136</f>
        <v>0</v>
      </c>
      <c r="H136" s="236">
        <f t="shared" si="145"/>
        <v>0</v>
      </c>
      <c r="I136" s="236">
        <f t="shared" si="145"/>
        <v>0</v>
      </c>
      <c r="J136" s="236">
        <f t="shared" si="135"/>
        <v>0</v>
      </c>
      <c r="K136" s="236">
        <f t="shared" si="136"/>
        <v>0</v>
      </c>
      <c r="L136" s="236">
        <f t="shared" si="137"/>
        <v>0</v>
      </c>
      <c r="M136" s="236">
        <f t="shared" si="138"/>
        <v>0</v>
      </c>
      <c r="N136" s="236">
        <f t="shared" si="139"/>
        <v>0</v>
      </c>
      <c r="O136" s="236">
        <f t="shared" si="140"/>
        <v>0</v>
      </c>
      <c r="P136" s="236">
        <f t="shared" si="141"/>
        <v>0</v>
      </c>
    </row>
    <row r="137" spans="1:16" ht="12.75" customHeight="1" x14ac:dyDescent="0.25">
      <c r="A137" s="41"/>
      <c r="B137" s="315">
        <f t="shared" ref="B137:C137" si="146">B226</f>
        <v>0</v>
      </c>
      <c r="C137" s="315">
        <f t="shared" si="146"/>
        <v>0</v>
      </c>
      <c r="D137" s="41"/>
      <c r="E137" s="622">
        <v>0</v>
      </c>
      <c r="F137" s="236">
        <f t="shared" si="133"/>
        <v>0</v>
      </c>
      <c r="G137" s="237">
        <f t="shared" ref="G137:I137" si="147">F137</f>
        <v>0</v>
      </c>
      <c r="H137" s="236">
        <f t="shared" si="147"/>
        <v>0</v>
      </c>
      <c r="I137" s="236">
        <f t="shared" si="147"/>
        <v>0</v>
      </c>
      <c r="J137" s="236">
        <f t="shared" si="135"/>
        <v>0</v>
      </c>
      <c r="K137" s="236">
        <f t="shared" si="136"/>
        <v>0</v>
      </c>
      <c r="L137" s="236">
        <f t="shared" si="137"/>
        <v>0</v>
      </c>
      <c r="M137" s="236">
        <f t="shared" si="138"/>
        <v>0</v>
      </c>
      <c r="N137" s="236">
        <f t="shared" si="139"/>
        <v>0</v>
      </c>
      <c r="O137" s="236">
        <f t="shared" si="140"/>
        <v>0</v>
      </c>
      <c r="P137" s="236">
        <f t="shared" si="141"/>
        <v>0</v>
      </c>
    </row>
    <row r="138" spans="1:16" ht="12.75" customHeight="1" x14ac:dyDescent="0.25">
      <c r="A138" s="41"/>
      <c r="B138" s="315">
        <f t="shared" ref="B138:C138" si="148">B227</f>
        <v>0</v>
      </c>
      <c r="C138" s="315">
        <f t="shared" si="148"/>
        <v>0</v>
      </c>
      <c r="D138" s="41"/>
      <c r="E138" s="622">
        <v>0</v>
      </c>
      <c r="F138" s="236">
        <f t="shared" si="133"/>
        <v>0</v>
      </c>
      <c r="G138" s="237">
        <f t="shared" ref="G138:I138" si="149">F138</f>
        <v>0</v>
      </c>
      <c r="H138" s="236">
        <f t="shared" si="149"/>
        <v>0</v>
      </c>
      <c r="I138" s="236">
        <f t="shared" si="149"/>
        <v>0</v>
      </c>
      <c r="J138" s="236">
        <f t="shared" si="135"/>
        <v>0</v>
      </c>
      <c r="K138" s="236">
        <f t="shared" si="136"/>
        <v>0</v>
      </c>
      <c r="L138" s="236">
        <f t="shared" si="137"/>
        <v>0</v>
      </c>
      <c r="M138" s="236">
        <f t="shared" si="138"/>
        <v>0</v>
      </c>
      <c r="N138" s="236">
        <f t="shared" si="139"/>
        <v>0</v>
      </c>
      <c r="O138" s="236">
        <f t="shared" si="140"/>
        <v>0</v>
      </c>
      <c r="P138" s="236">
        <f t="shared" si="141"/>
        <v>0</v>
      </c>
    </row>
    <row r="139" spans="1:16" ht="12.75" customHeight="1" x14ac:dyDescent="0.25">
      <c r="A139" s="41"/>
      <c r="B139" s="315">
        <f t="shared" ref="B139:C139" si="150">B228</f>
        <v>0</v>
      </c>
      <c r="C139" s="315">
        <f t="shared" si="150"/>
        <v>0</v>
      </c>
      <c r="D139" s="41"/>
      <c r="E139" s="622">
        <v>0</v>
      </c>
      <c r="F139" s="236">
        <f t="shared" si="133"/>
        <v>0</v>
      </c>
      <c r="G139" s="237">
        <f t="shared" ref="G139:I139" si="151">F139</f>
        <v>0</v>
      </c>
      <c r="H139" s="236">
        <f t="shared" si="151"/>
        <v>0</v>
      </c>
      <c r="I139" s="236">
        <f t="shared" si="151"/>
        <v>0</v>
      </c>
      <c r="J139" s="236">
        <f t="shared" si="135"/>
        <v>0</v>
      </c>
      <c r="K139" s="236">
        <f t="shared" si="136"/>
        <v>0</v>
      </c>
      <c r="L139" s="236">
        <f t="shared" si="137"/>
        <v>0</v>
      </c>
      <c r="M139" s="236">
        <f t="shared" si="138"/>
        <v>0</v>
      </c>
      <c r="N139" s="236">
        <f t="shared" si="139"/>
        <v>0</v>
      </c>
      <c r="O139" s="236">
        <f t="shared" si="140"/>
        <v>0</v>
      </c>
      <c r="P139" s="236">
        <f t="shared" si="141"/>
        <v>0</v>
      </c>
    </row>
    <row r="140" spans="1:16" ht="12.75" customHeight="1" x14ac:dyDescent="0.25">
      <c r="A140" s="41"/>
      <c r="B140" s="316">
        <f t="shared" ref="B140:C140" si="152">B229</f>
        <v>0</v>
      </c>
      <c r="C140" s="316">
        <f t="shared" si="152"/>
        <v>0</v>
      </c>
      <c r="D140" s="223"/>
      <c r="E140" s="623">
        <v>0</v>
      </c>
      <c r="F140" s="616">
        <f t="shared" si="133"/>
        <v>0</v>
      </c>
      <c r="G140" s="617">
        <f t="shared" ref="G140:I140" si="153">F140</f>
        <v>0</v>
      </c>
      <c r="H140" s="616">
        <f t="shared" si="153"/>
        <v>0</v>
      </c>
      <c r="I140" s="616">
        <f t="shared" si="153"/>
        <v>0</v>
      </c>
      <c r="J140" s="616">
        <f t="shared" si="135"/>
        <v>0</v>
      </c>
      <c r="K140" s="616">
        <f t="shared" si="136"/>
        <v>0</v>
      </c>
      <c r="L140" s="616">
        <f t="shared" si="137"/>
        <v>0</v>
      </c>
      <c r="M140" s="616">
        <f t="shared" si="138"/>
        <v>0</v>
      </c>
      <c r="N140" s="616">
        <f t="shared" si="139"/>
        <v>0</v>
      </c>
      <c r="O140" s="616">
        <f t="shared" si="140"/>
        <v>0</v>
      </c>
      <c r="P140" s="616">
        <f t="shared" si="141"/>
        <v>0</v>
      </c>
    </row>
    <row r="141" spans="1:16" ht="12.75" customHeight="1" x14ac:dyDescent="0.25">
      <c r="A141" s="41"/>
      <c r="B141" s="315"/>
      <c r="C141" s="315" t="s">
        <v>219</v>
      </c>
      <c r="D141" s="41"/>
      <c r="E141" s="234">
        <f>SUM(E134:E140)</f>
        <v>1</v>
      </c>
      <c r="F141" s="234">
        <f t="shared" ref="F141:I141" si="154">SUM(F134:F140)</f>
        <v>1</v>
      </c>
      <c r="G141" s="237">
        <f t="shared" si="154"/>
        <v>1</v>
      </c>
      <c r="H141" s="236">
        <f t="shared" si="154"/>
        <v>1</v>
      </c>
      <c r="I141" s="236">
        <f t="shared" si="154"/>
        <v>1</v>
      </c>
      <c r="J141" s="236">
        <f t="shared" ref="J141:P141" si="155">SUM(J134:J140)</f>
        <v>1</v>
      </c>
      <c r="K141" s="236">
        <f t="shared" si="155"/>
        <v>1</v>
      </c>
      <c r="L141" s="236">
        <f t="shared" si="155"/>
        <v>1</v>
      </c>
      <c r="M141" s="236">
        <f t="shared" si="155"/>
        <v>1</v>
      </c>
      <c r="N141" s="236">
        <f t="shared" si="155"/>
        <v>1</v>
      </c>
      <c r="O141" s="236">
        <f t="shared" si="155"/>
        <v>1</v>
      </c>
      <c r="P141" s="236">
        <f t="shared" si="155"/>
        <v>1</v>
      </c>
    </row>
    <row r="142" spans="1:16" ht="12.75" customHeight="1" x14ac:dyDescent="0.25">
      <c r="A142" s="41"/>
      <c r="B142" s="315"/>
      <c r="C142" s="315"/>
      <c r="D142" s="41"/>
      <c r="E142" s="234"/>
      <c r="F142" s="234"/>
      <c r="G142" s="235"/>
      <c r="H142" s="234"/>
      <c r="I142" s="234"/>
      <c r="J142" s="234"/>
      <c r="K142" s="234"/>
      <c r="L142" s="234"/>
      <c r="M142" s="234"/>
      <c r="N142" s="234"/>
      <c r="O142" s="234"/>
      <c r="P142" s="234"/>
    </row>
    <row r="143" spans="1:16" ht="12.75" customHeight="1" x14ac:dyDescent="0.25">
      <c r="A143" s="29" t="s">
        <v>343</v>
      </c>
      <c r="B143" s="317"/>
      <c r="C143" s="123"/>
      <c r="E143" s="234"/>
      <c r="F143" s="234"/>
      <c r="G143" s="235"/>
      <c r="H143" s="234"/>
      <c r="I143" s="234"/>
      <c r="J143" s="234"/>
      <c r="K143" s="234"/>
      <c r="L143" s="234"/>
      <c r="M143" s="234"/>
      <c r="N143" s="234"/>
      <c r="O143" s="234"/>
      <c r="P143" s="234"/>
    </row>
    <row r="144" spans="1:16" ht="12.75" customHeight="1" x14ac:dyDescent="0.25">
      <c r="A144" s="41"/>
      <c r="B144" s="315">
        <f>B233</f>
        <v>0</v>
      </c>
      <c r="C144" s="315">
        <f>C233</f>
        <v>3000</v>
      </c>
      <c r="D144" s="41"/>
      <c r="E144" s="622">
        <v>0.25</v>
      </c>
      <c r="F144" s="236">
        <f t="shared" ref="F144:F149" si="156">E144</f>
        <v>0.25</v>
      </c>
      <c r="G144" s="237">
        <f t="shared" ref="G144:I144" si="157">F144</f>
        <v>0.25</v>
      </c>
      <c r="H144" s="236">
        <f t="shared" si="157"/>
        <v>0.25</v>
      </c>
      <c r="I144" s="236">
        <f t="shared" si="157"/>
        <v>0.25</v>
      </c>
      <c r="J144" s="236">
        <f t="shared" ref="J144:J149" si="158">I144</f>
        <v>0.25</v>
      </c>
      <c r="K144" s="236">
        <f t="shared" ref="K144:K149" si="159">J144</f>
        <v>0.25</v>
      </c>
      <c r="L144" s="236">
        <f t="shared" ref="L144:L149" si="160">K144</f>
        <v>0.25</v>
      </c>
      <c r="M144" s="236">
        <f t="shared" ref="M144:M149" si="161">L144</f>
        <v>0.25</v>
      </c>
      <c r="N144" s="236">
        <f t="shared" ref="N144:N149" si="162">M144</f>
        <v>0.25</v>
      </c>
      <c r="O144" s="236">
        <f t="shared" ref="O144:O149" si="163">N144</f>
        <v>0.25</v>
      </c>
      <c r="P144" s="236">
        <f t="shared" ref="P144:P149" si="164">O144</f>
        <v>0.25</v>
      </c>
    </row>
    <row r="145" spans="1:16" ht="12.75" customHeight="1" x14ac:dyDescent="0.25">
      <c r="A145" s="41"/>
      <c r="B145" s="315">
        <f t="shared" ref="B145:C145" si="165">B234</f>
        <v>3001</v>
      </c>
      <c r="C145" s="315">
        <f t="shared" si="165"/>
        <v>99999999</v>
      </c>
      <c r="D145" s="41"/>
      <c r="E145" s="622">
        <v>0.75</v>
      </c>
      <c r="F145" s="236">
        <f t="shared" si="156"/>
        <v>0.75</v>
      </c>
      <c r="G145" s="237">
        <f t="shared" ref="G145:I145" si="166">F145</f>
        <v>0.75</v>
      </c>
      <c r="H145" s="236">
        <f t="shared" si="166"/>
        <v>0.75</v>
      </c>
      <c r="I145" s="236">
        <f t="shared" si="166"/>
        <v>0.75</v>
      </c>
      <c r="J145" s="236">
        <f t="shared" si="158"/>
        <v>0.75</v>
      </c>
      <c r="K145" s="236">
        <f t="shared" si="159"/>
        <v>0.75</v>
      </c>
      <c r="L145" s="236">
        <f t="shared" si="160"/>
        <v>0.75</v>
      </c>
      <c r="M145" s="236">
        <f t="shared" si="161"/>
        <v>0.75</v>
      </c>
      <c r="N145" s="236">
        <f t="shared" si="162"/>
        <v>0.75</v>
      </c>
      <c r="O145" s="236">
        <f t="shared" si="163"/>
        <v>0.75</v>
      </c>
      <c r="P145" s="236">
        <f t="shared" si="164"/>
        <v>0.75</v>
      </c>
    </row>
    <row r="146" spans="1:16" ht="12.75" customHeight="1" x14ac:dyDescent="0.25">
      <c r="A146" s="41"/>
      <c r="B146" s="315">
        <f t="shared" ref="B146:C146" si="167">B235</f>
        <v>0</v>
      </c>
      <c r="C146" s="315">
        <f t="shared" si="167"/>
        <v>0</v>
      </c>
      <c r="D146" s="41"/>
      <c r="E146" s="622">
        <v>0</v>
      </c>
      <c r="F146" s="236">
        <f t="shared" si="156"/>
        <v>0</v>
      </c>
      <c r="G146" s="237">
        <f t="shared" ref="G146:I146" si="168">F146</f>
        <v>0</v>
      </c>
      <c r="H146" s="236">
        <f t="shared" si="168"/>
        <v>0</v>
      </c>
      <c r="I146" s="236">
        <f t="shared" si="168"/>
        <v>0</v>
      </c>
      <c r="J146" s="236">
        <f t="shared" si="158"/>
        <v>0</v>
      </c>
      <c r="K146" s="236">
        <f t="shared" si="159"/>
        <v>0</v>
      </c>
      <c r="L146" s="236">
        <f t="shared" si="160"/>
        <v>0</v>
      </c>
      <c r="M146" s="236">
        <f t="shared" si="161"/>
        <v>0</v>
      </c>
      <c r="N146" s="236">
        <f t="shared" si="162"/>
        <v>0</v>
      </c>
      <c r="O146" s="236">
        <f t="shared" si="163"/>
        <v>0</v>
      </c>
      <c r="P146" s="236">
        <f t="shared" si="164"/>
        <v>0</v>
      </c>
    </row>
    <row r="147" spans="1:16" ht="12.75" customHeight="1" x14ac:dyDescent="0.25">
      <c r="A147" s="41"/>
      <c r="B147" s="315">
        <f t="shared" ref="B147:C147" si="169">B236</f>
        <v>0</v>
      </c>
      <c r="C147" s="315">
        <f t="shared" si="169"/>
        <v>0</v>
      </c>
      <c r="D147" s="41"/>
      <c r="E147" s="622">
        <v>0</v>
      </c>
      <c r="F147" s="236">
        <f t="shared" si="156"/>
        <v>0</v>
      </c>
      <c r="G147" s="237">
        <f t="shared" ref="G147:I147" si="170">F147</f>
        <v>0</v>
      </c>
      <c r="H147" s="236">
        <f t="shared" si="170"/>
        <v>0</v>
      </c>
      <c r="I147" s="236">
        <f t="shared" si="170"/>
        <v>0</v>
      </c>
      <c r="J147" s="236">
        <f t="shared" si="158"/>
        <v>0</v>
      </c>
      <c r="K147" s="236">
        <f t="shared" si="159"/>
        <v>0</v>
      </c>
      <c r="L147" s="236">
        <f t="shared" si="160"/>
        <v>0</v>
      </c>
      <c r="M147" s="236">
        <f t="shared" si="161"/>
        <v>0</v>
      </c>
      <c r="N147" s="236">
        <f t="shared" si="162"/>
        <v>0</v>
      </c>
      <c r="O147" s="236">
        <f t="shared" si="163"/>
        <v>0</v>
      </c>
      <c r="P147" s="236">
        <f t="shared" si="164"/>
        <v>0</v>
      </c>
    </row>
    <row r="148" spans="1:16" ht="12.75" customHeight="1" x14ac:dyDescent="0.25">
      <c r="A148" s="41"/>
      <c r="B148" s="315">
        <f t="shared" ref="B148:C148" si="171">B237</f>
        <v>0</v>
      </c>
      <c r="C148" s="315">
        <f t="shared" si="171"/>
        <v>0</v>
      </c>
      <c r="D148" s="41"/>
      <c r="E148" s="622">
        <v>0</v>
      </c>
      <c r="F148" s="236">
        <f t="shared" si="156"/>
        <v>0</v>
      </c>
      <c r="G148" s="237">
        <f t="shared" ref="G148:I148" si="172">F148</f>
        <v>0</v>
      </c>
      <c r="H148" s="236">
        <f t="shared" si="172"/>
        <v>0</v>
      </c>
      <c r="I148" s="236">
        <f t="shared" si="172"/>
        <v>0</v>
      </c>
      <c r="J148" s="236">
        <f t="shared" si="158"/>
        <v>0</v>
      </c>
      <c r="K148" s="236">
        <f t="shared" si="159"/>
        <v>0</v>
      </c>
      <c r="L148" s="236">
        <f t="shared" si="160"/>
        <v>0</v>
      </c>
      <c r="M148" s="236">
        <f t="shared" si="161"/>
        <v>0</v>
      </c>
      <c r="N148" s="236">
        <f t="shared" si="162"/>
        <v>0</v>
      </c>
      <c r="O148" s="236">
        <f t="shared" si="163"/>
        <v>0</v>
      </c>
      <c r="P148" s="236">
        <f t="shared" si="164"/>
        <v>0</v>
      </c>
    </row>
    <row r="149" spans="1:16" ht="12.75" customHeight="1" x14ac:dyDescent="0.25">
      <c r="A149" s="41"/>
      <c r="B149" s="316">
        <f t="shared" ref="B149:C149" si="173">B238</f>
        <v>0</v>
      </c>
      <c r="C149" s="316">
        <f t="shared" si="173"/>
        <v>0</v>
      </c>
      <c r="D149" s="223"/>
      <c r="E149" s="623">
        <v>0</v>
      </c>
      <c r="F149" s="616">
        <f t="shared" si="156"/>
        <v>0</v>
      </c>
      <c r="G149" s="617">
        <f t="shared" ref="G149:I149" si="174">F149</f>
        <v>0</v>
      </c>
      <c r="H149" s="616">
        <f t="shared" si="174"/>
        <v>0</v>
      </c>
      <c r="I149" s="616">
        <f t="shared" si="174"/>
        <v>0</v>
      </c>
      <c r="J149" s="616">
        <f t="shared" si="158"/>
        <v>0</v>
      </c>
      <c r="K149" s="616">
        <f t="shared" si="159"/>
        <v>0</v>
      </c>
      <c r="L149" s="616">
        <f t="shared" si="160"/>
        <v>0</v>
      </c>
      <c r="M149" s="616">
        <f t="shared" si="161"/>
        <v>0</v>
      </c>
      <c r="N149" s="616">
        <f t="shared" si="162"/>
        <v>0</v>
      </c>
      <c r="O149" s="616">
        <f t="shared" si="163"/>
        <v>0</v>
      </c>
      <c r="P149" s="616">
        <f t="shared" si="164"/>
        <v>0</v>
      </c>
    </row>
    <row r="150" spans="1:16" ht="12.75" customHeight="1" x14ac:dyDescent="0.25">
      <c r="A150" s="41"/>
      <c r="B150" s="315"/>
      <c r="C150" s="315" t="s">
        <v>219</v>
      </c>
      <c r="D150" s="41"/>
      <c r="E150" s="234">
        <f>SUM(E144:E149)</f>
        <v>1</v>
      </c>
      <c r="F150" s="234">
        <f t="shared" ref="F150:I150" si="175">SUM(F144:F149)</f>
        <v>1</v>
      </c>
      <c r="G150" s="237">
        <f t="shared" si="175"/>
        <v>1</v>
      </c>
      <c r="H150" s="236">
        <f t="shared" si="175"/>
        <v>1</v>
      </c>
      <c r="I150" s="236">
        <f t="shared" si="175"/>
        <v>1</v>
      </c>
      <c r="J150" s="236">
        <f t="shared" ref="J150:P150" si="176">SUM(J144:J149)</f>
        <v>1</v>
      </c>
      <c r="K150" s="236">
        <f t="shared" si="176"/>
        <v>1</v>
      </c>
      <c r="L150" s="236">
        <f t="shared" si="176"/>
        <v>1</v>
      </c>
      <c r="M150" s="236">
        <f t="shared" si="176"/>
        <v>1</v>
      </c>
      <c r="N150" s="236">
        <f t="shared" si="176"/>
        <v>1</v>
      </c>
      <c r="O150" s="236">
        <f t="shared" si="176"/>
        <v>1</v>
      </c>
      <c r="P150" s="236">
        <f t="shared" si="176"/>
        <v>1</v>
      </c>
    </row>
    <row r="151" spans="1:16" ht="12.75" customHeight="1" x14ac:dyDescent="0.25">
      <c r="A151" s="41"/>
      <c r="B151" s="315"/>
      <c r="C151" s="315"/>
      <c r="D151" s="41"/>
      <c r="E151" s="234"/>
      <c r="F151" s="234"/>
      <c r="G151" s="235"/>
      <c r="H151" s="234"/>
      <c r="I151" s="234"/>
      <c r="J151" s="234"/>
      <c r="K151" s="234"/>
      <c r="L151" s="234"/>
      <c r="M151" s="234"/>
      <c r="N151" s="234"/>
      <c r="O151" s="234"/>
      <c r="P151" s="234"/>
    </row>
    <row r="152" spans="1:16" ht="12.75" customHeight="1" x14ac:dyDescent="0.25">
      <c r="A152" s="29" t="s">
        <v>297</v>
      </c>
      <c r="B152" s="317"/>
      <c r="C152" s="123"/>
      <c r="E152" s="234"/>
      <c r="F152" s="234"/>
      <c r="G152" s="235"/>
      <c r="H152" s="234"/>
      <c r="I152" s="234"/>
      <c r="J152" s="234"/>
      <c r="K152" s="234"/>
      <c r="L152" s="234"/>
      <c r="M152" s="234"/>
      <c r="N152" s="234"/>
      <c r="O152" s="234"/>
      <c r="P152" s="234"/>
    </row>
    <row r="153" spans="1:16" ht="12.75" customHeight="1" x14ac:dyDescent="0.25">
      <c r="A153" s="41"/>
      <c r="B153" s="315">
        <f>B242</f>
        <v>0</v>
      </c>
      <c r="C153" s="315">
        <f>C242</f>
        <v>99999999</v>
      </c>
      <c r="D153" s="41"/>
      <c r="E153" s="622">
        <v>1</v>
      </c>
      <c r="F153" s="236">
        <f t="shared" ref="F153:F158" si="177">E153</f>
        <v>1</v>
      </c>
      <c r="G153" s="237">
        <f t="shared" ref="G153:I153" si="178">F153</f>
        <v>1</v>
      </c>
      <c r="H153" s="236">
        <f t="shared" si="178"/>
        <v>1</v>
      </c>
      <c r="I153" s="236">
        <f t="shared" si="178"/>
        <v>1</v>
      </c>
      <c r="J153" s="236">
        <f t="shared" ref="J153:J158" si="179">I153</f>
        <v>1</v>
      </c>
      <c r="K153" s="236">
        <f t="shared" ref="K153:K158" si="180">J153</f>
        <v>1</v>
      </c>
      <c r="L153" s="236">
        <f t="shared" ref="L153:L158" si="181">K153</f>
        <v>1</v>
      </c>
      <c r="M153" s="236">
        <f t="shared" ref="M153:M158" si="182">L153</f>
        <v>1</v>
      </c>
      <c r="N153" s="236">
        <f t="shared" ref="N153:N158" si="183">M153</f>
        <v>1</v>
      </c>
      <c r="O153" s="236">
        <f t="shared" ref="O153:O158" si="184">N153</f>
        <v>1</v>
      </c>
      <c r="P153" s="236">
        <f t="shared" ref="P153:P158" si="185">O153</f>
        <v>1</v>
      </c>
    </row>
    <row r="154" spans="1:16" ht="12.75" customHeight="1" x14ac:dyDescent="0.25">
      <c r="A154" s="41"/>
      <c r="B154" s="315">
        <f t="shared" ref="B154:C154" si="186">B243</f>
        <v>0</v>
      </c>
      <c r="C154" s="315">
        <f t="shared" si="186"/>
        <v>0</v>
      </c>
      <c r="D154" s="41"/>
      <c r="E154" s="622">
        <v>0</v>
      </c>
      <c r="F154" s="236">
        <f t="shared" si="177"/>
        <v>0</v>
      </c>
      <c r="G154" s="237">
        <f t="shared" ref="G154:I154" si="187">F154</f>
        <v>0</v>
      </c>
      <c r="H154" s="236">
        <f t="shared" si="187"/>
        <v>0</v>
      </c>
      <c r="I154" s="236">
        <f t="shared" si="187"/>
        <v>0</v>
      </c>
      <c r="J154" s="236">
        <f t="shared" si="179"/>
        <v>0</v>
      </c>
      <c r="K154" s="236">
        <f t="shared" si="180"/>
        <v>0</v>
      </c>
      <c r="L154" s="236">
        <f t="shared" si="181"/>
        <v>0</v>
      </c>
      <c r="M154" s="236">
        <f t="shared" si="182"/>
        <v>0</v>
      </c>
      <c r="N154" s="236">
        <f t="shared" si="183"/>
        <v>0</v>
      </c>
      <c r="O154" s="236">
        <f t="shared" si="184"/>
        <v>0</v>
      </c>
      <c r="P154" s="236">
        <f t="shared" si="185"/>
        <v>0</v>
      </c>
    </row>
    <row r="155" spans="1:16" ht="12.75" customHeight="1" x14ac:dyDescent="0.25">
      <c r="A155" s="41"/>
      <c r="B155" s="315">
        <f t="shared" ref="B155:C155" si="188">B244</f>
        <v>0</v>
      </c>
      <c r="C155" s="315">
        <f t="shared" si="188"/>
        <v>0</v>
      </c>
      <c r="D155" s="41"/>
      <c r="E155" s="622">
        <v>0</v>
      </c>
      <c r="F155" s="236">
        <f t="shared" si="177"/>
        <v>0</v>
      </c>
      <c r="G155" s="237">
        <f t="shared" ref="G155:I155" si="189">F155</f>
        <v>0</v>
      </c>
      <c r="H155" s="236">
        <f t="shared" si="189"/>
        <v>0</v>
      </c>
      <c r="I155" s="236">
        <f t="shared" si="189"/>
        <v>0</v>
      </c>
      <c r="J155" s="236">
        <f t="shared" si="179"/>
        <v>0</v>
      </c>
      <c r="K155" s="236">
        <f t="shared" si="180"/>
        <v>0</v>
      </c>
      <c r="L155" s="236">
        <f t="shared" si="181"/>
        <v>0</v>
      </c>
      <c r="M155" s="236">
        <f t="shared" si="182"/>
        <v>0</v>
      </c>
      <c r="N155" s="236">
        <f t="shared" si="183"/>
        <v>0</v>
      </c>
      <c r="O155" s="236">
        <f t="shared" si="184"/>
        <v>0</v>
      </c>
      <c r="P155" s="236">
        <f t="shared" si="185"/>
        <v>0</v>
      </c>
    </row>
    <row r="156" spans="1:16" ht="12.75" customHeight="1" x14ac:dyDescent="0.25">
      <c r="A156" s="41"/>
      <c r="B156" s="315">
        <f t="shared" ref="B156:C156" si="190">B245</f>
        <v>0</v>
      </c>
      <c r="C156" s="315">
        <f t="shared" si="190"/>
        <v>0</v>
      </c>
      <c r="D156" s="41"/>
      <c r="E156" s="622">
        <v>0</v>
      </c>
      <c r="F156" s="236">
        <f t="shared" si="177"/>
        <v>0</v>
      </c>
      <c r="G156" s="237">
        <f t="shared" ref="G156:I156" si="191">F156</f>
        <v>0</v>
      </c>
      <c r="H156" s="236">
        <f t="shared" si="191"/>
        <v>0</v>
      </c>
      <c r="I156" s="236">
        <f t="shared" si="191"/>
        <v>0</v>
      </c>
      <c r="J156" s="236">
        <f t="shared" si="179"/>
        <v>0</v>
      </c>
      <c r="K156" s="236">
        <f t="shared" si="180"/>
        <v>0</v>
      </c>
      <c r="L156" s="236">
        <f t="shared" si="181"/>
        <v>0</v>
      </c>
      <c r="M156" s="236">
        <f t="shared" si="182"/>
        <v>0</v>
      </c>
      <c r="N156" s="236">
        <f t="shared" si="183"/>
        <v>0</v>
      </c>
      <c r="O156" s="236">
        <f t="shared" si="184"/>
        <v>0</v>
      </c>
      <c r="P156" s="236">
        <f t="shared" si="185"/>
        <v>0</v>
      </c>
    </row>
    <row r="157" spans="1:16" ht="12.75" customHeight="1" x14ac:dyDescent="0.25">
      <c r="A157" s="41"/>
      <c r="B157" s="315">
        <f t="shared" ref="B157:C157" si="192">B246</f>
        <v>0</v>
      </c>
      <c r="C157" s="315">
        <f t="shared" si="192"/>
        <v>0</v>
      </c>
      <c r="D157" s="41"/>
      <c r="E157" s="622">
        <v>0</v>
      </c>
      <c r="F157" s="236">
        <f t="shared" si="177"/>
        <v>0</v>
      </c>
      <c r="G157" s="237">
        <f t="shared" ref="G157:I157" si="193">F157</f>
        <v>0</v>
      </c>
      <c r="H157" s="236">
        <f t="shared" si="193"/>
        <v>0</v>
      </c>
      <c r="I157" s="236">
        <f t="shared" si="193"/>
        <v>0</v>
      </c>
      <c r="J157" s="236">
        <f t="shared" si="179"/>
        <v>0</v>
      </c>
      <c r="K157" s="236">
        <f t="shared" si="180"/>
        <v>0</v>
      </c>
      <c r="L157" s="236">
        <f t="shared" si="181"/>
        <v>0</v>
      </c>
      <c r="M157" s="236">
        <f t="shared" si="182"/>
        <v>0</v>
      </c>
      <c r="N157" s="236">
        <f t="shared" si="183"/>
        <v>0</v>
      </c>
      <c r="O157" s="236">
        <f t="shared" si="184"/>
        <v>0</v>
      </c>
      <c r="P157" s="236">
        <f t="shared" si="185"/>
        <v>0</v>
      </c>
    </row>
    <row r="158" spans="1:16" ht="12.75" customHeight="1" x14ac:dyDescent="0.25">
      <c r="A158" s="41"/>
      <c r="B158" s="316">
        <f t="shared" ref="B158:C158" si="194">B247</f>
        <v>0</v>
      </c>
      <c r="C158" s="316">
        <f t="shared" si="194"/>
        <v>0</v>
      </c>
      <c r="D158" s="223"/>
      <c r="E158" s="623">
        <v>0</v>
      </c>
      <c r="F158" s="616">
        <f t="shared" si="177"/>
        <v>0</v>
      </c>
      <c r="G158" s="617">
        <f t="shared" ref="G158:I158" si="195">F158</f>
        <v>0</v>
      </c>
      <c r="H158" s="616">
        <f t="shared" si="195"/>
        <v>0</v>
      </c>
      <c r="I158" s="616">
        <f t="shared" si="195"/>
        <v>0</v>
      </c>
      <c r="J158" s="616">
        <f t="shared" si="179"/>
        <v>0</v>
      </c>
      <c r="K158" s="616">
        <f t="shared" si="180"/>
        <v>0</v>
      </c>
      <c r="L158" s="616">
        <f t="shared" si="181"/>
        <v>0</v>
      </c>
      <c r="M158" s="616">
        <f t="shared" si="182"/>
        <v>0</v>
      </c>
      <c r="N158" s="616">
        <f t="shared" si="183"/>
        <v>0</v>
      </c>
      <c r="O158" s="616">
        <f t="shared" si="184"/>
        <v>0</v>
      </c>
      <c r="P158" s="616">
        <f t="shared" si="185"/>
        <v>0</v>
      </c>
    </row>
    <row r="159" spans="1:16" ht="12.75" customHeight="1" x14ac:dyDescent="0.25">
      <c r="A159" s="41"/>
      <c r="B159" s="315"/>
      <c r="C159" s="315" t="s">
        <v>219</v>
      </c>
      <c r="D159" s="41"/>
      <c r="E159" s="234">
        <f>SUM(E153:E158)</f>
        <v>1</v>
      </c>
      <c r="F159" s="234">
        <f t="shared" ref="F159" si="196">SUM(F153:F158)</f>
        <v>1</v>
      </c>
      <c r="G159" s="237">
        <f t="shared" ref="G159" si="197">SUM(G153:G158)</f>
        <v>1</v>
      </c>
      <c r="H159" s="236">
        <f t="shared" ref="H159" si="198">SUM(H153:H158)</f>
        <v>1</v>
      </c>
      <c r="I159" s="236">
        <f t="shared" ref="I159:P159" si="199">SUM(I153:I158)</f>
        <v>1</v>
      </c>
      <c r="J159" s="236">
        <f t="shared" si="199"/>
        <v>1</v>
      </c>
      <c r="K159" s="236">
        <f t="shared" si="199"/>
        <v>1</v>
      </c>
      <c r="L159" s="236">
        <f t="shared" si="199"/>
        <v>1</v>
      </c>
      <c r="M159" s="236">
        <f t="shared" si="199"/>
        <v>1</v>
      </c>
      <c r="N159" s="236">
        <f t="shared" si="199"/>
        <v>1</v>
      </c>
      <c r="O159" s="236">
        <f t="shared" si="199"/>
        <v>1</v>
      </c>
      <c r="P159" s="236">
        <f t="shared" si="199"/>
        <v>1</v>
      </c>
    </row>
    <row r="160" spans="1:16" ht="12.75" customHeight="1" x14ac:dyDescent="0.25">
      <c r="A160" s="41"/>
      <c r="B160" s="315"/>
      <c r="C160" s="315"/>
      <c r="D160" s="41"/>
      <c r="E160" s="234"/>
      <c r="F160" s="234"/>
      <c r="G160" s="235"/>
      <c r="H160" s="234"/>
      <c r="I160" s="234"/>
      <c r="J160" s="234"/>
      <c r="K160" s="234"/>
      <c r="L160" s="234"/>
      <c r="M160" s="234"/>
      <c r="N160" s="234"/>
      <c r="O160" s="234"/>
      <c r="P160" s="234"/>
    </row>
    <row r="161" spans="1:16" ht="12.75" customHeight="1" x14ac:dyDescent="0.25">
      <c r="A161" s="29" t="s">
        <v>297</v>
      </c>
      <c r="B161" s="317"/>
      <c r="C161" s="123"/>
      <c r="E161" s="234"/>
      <c r="F161" s="234"/>
      <c r="G161" s="235"/>
      <c r="H161" s="234"/>
      <c r="I161" s="234"/>
      <c r="J161" s="234"/>
      <c r="K161" s="234"/>
      <c r="L161" s="234"/>
      <c r="M161" s="234"/>
      <c r="N161" s="234"/>
      <c r="O161" s="234"/>
      <c r="P161" s="234"/>
    </row>
    <row r="162" spans="1:16" ht="12.75" customHeight="1" x14ac:dyDescent="0.25">
      <c r="A162" s="41"/>
      <c r="B162" s="315">
        <f>B251</f>
        <v>0</v>
      </c>
      <c r="C162" s="315">
        <f>C251</f>
        <v>99999999</v>
      </c>
      <c r="D162" s="41"/>
      <c r="E162" s="622">
        <v>1</v>
      </c>
      <c r="F162" s="236">
        <f t="shared" ref="F162:F167" si="200">E162</f>
        <v>1</v>
      </c>
      <c r="G162" s="237">
        <f t="shared" ref="G162:I162" si="201">F162</f>
        <v>1</v>
      </c>
      <c r="H162" s="236">
        <f t="shared" si="201"/>
        <v>1</v>
      </c>
      <c r="I162" s="236">
        <f t="shared" si="201"/>
        <v>1</v>
      </c>
      <c r="J162" s="236">
        <f t="shared" ref="J162:J167" si="202">I162</f>
        <v>1</v>
      </c>
      <c r="K162" s="236">
        <f t="shared" ref="K162:K167" si="203">J162</f>
        <v>1</v>
      </c>
      <c r="L162" s="236">
        <f t="shared" ref="L162:L167" si="204">K162</f>
        <v>1</v>
      </c>
      <c r="M162" s="236">
        <f t="shared" ref="M162:M167" si="205">L162</f>
        <v>1</v>
      </c>
      <c r="N162" s="236">
        <f t="shared" ref="N162:N167" si="206">M162</f>
        <v>1</v>
      </c>
      <c r="O162" s="236">
        <f t="shared" ref="O162:O167" si="207">N162</f>
        <v>1</v>
      </c>
      <c r="P162" s="236">
        <f t="shared" ref="P162:P167" si="208">O162</f>
        <v>1</v>
      </c>
    </row>
    <row r="163" spans="1:16" ht="12.75" customHeight="1" x14ac:dyDescent="0.25">
      <c r="A163" s="41"/>
      <c r="B163" s="315">
        <f t="shared" ref="B163:C163" si="209">B252</f>
        <v>0</v>
      </c>
      <c r="C163" s="315">
        <f t="shared" si="209"/>
        <v>0</v>
      </c>
      <c r="D163" s="41"/>
      <c r="E163" s="622">
        <v>0</v>
      </c>
      <c r="F163" s="236">
        <f t="shared" si="200"/>
        <v>0</v>
      </c>
      <c r="G163" s="237">
        <f t="shared" ref="G163:I163" si="210">F163</f>
        <v>0</v>
      </c>
      <c r="H163" s="236">
        <f t="shared" si="210"/>
        <v>0</v>
      </c>
      <c r="I163" s="236">
        <f t="shared" si="210"/>
        <v>0</v>
      </c>
      <c r="J163" s="236">
        <f t="shared" si="202"/>
        <v>0</v>
      </c>
      <c r="K163" s="236">
        <f t="shared" si="203"/>
        <v>0</v>
      </c>
      <c r="L163" s="236">
        <f t="shared" si="204"/>
        <v>0</v>
      </c>
      <c r="M163" s="236">
        <f t="shared" si="205"/>
        <v>0</v>
      </c>
      <c r="N163" s="236">
        <f t="shared" si="206"/>
        <v>0</v>
      </c>
      <c r="O163" s="236">
        <f t="shared" si="207"/>
        <v>0</v>
      </c>
      <c r="P163" s="236">
        <f t="shared" si="208"/>
        <v>0</v>
      </c>
    </row>
    <row r="164" spans="1:16" ht="12.75" customHeight="1" x14ac:dyDescent="0.25">
      <c r="A164" s="41"/>
      <c r="B164" s="315">
        <f t="shared" ref="B164:C164" si="211">B253</f>
        <v>0</v>
      </c>
      <c r="C164" s="315">
        <f t="shared" si="211"/>
        <v>0</v>
      </c>
      <c r="D164" s="41"/>
      <c r="E164" s="622">
        <v>0</v>
      </c>
      <c r="F164" s="236">
        <f t="shared" si="200"/>
        <v>0</v>
      </c>
      <c r="G164" s="237">
        <f t="shared" ref="G164:I164" si="212">F164</f>
        <v>0</v>
      </c>
      <c r="H164" s="236">
        <f t="shared" si="212"/>
        <v>0</v>
      </c>
      <c r="I164" s="236">
        <f t="shared" si="212"/>
        <v>0</v>
      </c>
      <c r="J164" s="236">
        <f t="shared" si="202"/>
        <v>0</v>
      </c>
      <c r="K164" s="236">
        <f t="shared" si="203"/>
        <v>0</v>
      </c>
      <c r="L164" s="236">
        <f t="shared" si="204"/>
        <v>0</v>
      </c>
      <c r="M164" s="236">
        <f t="shared" si="205"/>
        <v>0</v>
      </c>
      <c r="N164" s="236">
        <f t="shared" si="206"/>
        <v>0</v>
      </c>
      <c r="O164" s="236">
        <f t="shared" si="207"/>
        <v>0</v>
      </c>
      <c r="P164" s="236">
        <f t="shared" si="208"/>
        <v>0</v>
      </c>
    </row>
    <row r="165" spans="1:16" ht="12.75" customHeight="1" x14ac:dyDescent="0.25">
      <c r="A165" s="41"/>
      <c r="B165" s="315">
        <f t="shared" ref="B165:C165" si="213">B254</f>
        <v>0</v>
      </c>
      <c r="C165" s="315">
        <f t="shared" si="213"/>
        <v>0</v>
      </c>
      <c r="D165" s="41"/>
      <c r="E165" s="622">
        <v>0</v>
      </c>
      <c r="F165" s="236">
        <f t="shared" si="200"/>
        <v>0</v>
      </c>
      <c r="G165" s="237">
        <f t="shared" ref="G165:I165" si="214">F165</f>
        <v>0</v>
      </c>
      <c r="H165" s="236">
        <f t="shared" si="214"/>
        <v>0</v>
      </c>
      <c r="I165" s="236">
        <f t="shared" si="214"/>
        <v>0</v>
      </c>
      <c r="J165" s="236">
        <f t="shared" si="202"/>
        <v>0</v>
      </c>
      <c r="K165" s="236">
        <f t="shared" si="203"/>
        <v>0</v>
      </c>
      <c r="L165" s="236">
        <f t="shared" si="204"/>
        <v>0</v>
      </c>
      <c r="M165" s="236">
        <f t="shared" si="205"/>
        <v>0</v>
      </c>
      <c r="N165" s="236">
        <f t="shared" si="206"/>
        <v>0</v>
      </c>
      <c r="O165" s="236">
        <f t="shared" si="207"/>
        <v>0</v>
      </c>
      <c r="P165" s="236">
        <f t="shared" si="208"/>
        <v>0</v>
      </c>
    </row>
    <row r="166" spans="1:16" ht="12.75" customHeight="1" x14ac:dyDescent="0.25">
      <c r="A166" s="41"/>
      <c r="B166" s="315">
        <f t="shared" ref="B166:C166" si="215">B255</f>
        <v>0</v>
      </c>
      <c r="C166" s="315">
        <f t="shared" si="215"/>
        <v>0</v>
      </c>
      <c r="D166" s="41"/>
      <c r="E166" s="622">
        <v>0</v>
      </c>
      <c r="F166" s="236">
        <f t="shared" si="200"/>
        <v>0</v>
      </c>
      <c r="G166" s="237">
        <f t="shared" ref="G166:I166" si="216">F166</f>
        <v>0</v>
      </c>
      <c r="H166" s="236">
        <f t="shared" si="216"/>
        <v>0</v>
      </c>
      <c r="I166" s="236">
        <f t="shared" si="216"/>
        <v>0</v>
      </c>
      <c r="J166" s="236">
        <f t="shared" si="202"/>
        <v>0</v>
      </c>
      <c r="K166" s="236">
        <f t="shared" si="203"/>
        <v>0</v>
      </c>
      <c r="L166" s="236">
        <f t="shared" si="204"/>
        <v>0</v>
      </c>
      <c r="M166" s="236">
        <f t="shared" si="205"/>
        <v>0</v>
      </c>
      <c r="N166" s="236">
        <f t="shared" si="206"/>
        <v>0</v>
      </c>
      <c r="O166" s="236">
        <f t="shared" si="207"/>
        <v>0</v>
      </c>
      <c r="P166" s="236">
        <f t="shared" si="208"/>
        <v>0</v>
      </c>
    </row>
    <row r="167" spans="1:16" ht="12.75" customHeight="1" x14ac:dyDescent="0.25">
      <c r="A167" s="41"/>
      <c r="B167" s="316">
        <f t="shared" ref="B167:C167" si="217">B256</f>
        <v>0</v>
      </c>
      <c r="C167" s="316">
        <f t="shared" si="217"/>
        <v>0</v>
      </c>
      <c r="D167" s="223"/>
      <c r="E167" s="623">
        <v>0</v>
      </c>
      <c r="F167" s="616">
        <f t="shared" si="200"/>
        <v>0</v>
      </c>
      <c r="G167" s="617">
        <f t="shared" ref="G167:I167" si="218">F167</f>
        <v>0</v>
      </c>
      <c r="H167" s="616">
        <f t="shared" si="218"/>
        <v>0</v>
      </c>
      <c r="I167" s="616">
        <f t="shared" si="218"/>
        <v>0</v>
      </c>
      <c r="J167" s="616">
        <f t="shared" si="202"/>
        <v>0</v>
      </c>
      <c r="K167" s="616">
        <f t="shared" si="203"/>
        <v>0</v>
      </c>
      <c r="L167" s="616">
        <f t="shared" si="204"/>
        <v>0</v>
      </c>
      <c r="M167" s="616">
        <f t="shared" si="205"/>
        <v>0</v>
      </c>
      <c r="N167" s="616">
        <f t="shared" si="206"/>
        <v>0</v>
      </c>
      <c r="O167" s="616">
        <f t="shared" si="207"/>
        <v>0</v>
      </c>
      <c r="P167" s="616">
        <f t="shared" si="208"/>
        <v>0</v>
      </c>
    </row>
    <row r="168" spans="1:16" ht="12.75" customHeight="1" x14ac:dyDescent="0.25">
      <c r="A168" s="41"/>
      <c r="B168" s="315"/>
      <c r="C168" s="315" t="s">
        <v>219</v>
      </c>
      <c r="D168" s="41"/>
      <c r="E168" s="234">
        <f>SUM(E162:E167)</f>
        <v>1</v>
      </c>
      <c r="F168" s="234">
        <f t="shared" ref="F168" si="219">SUM(F162:F167)</f>
        <v>1</v>
      </c>
      <c r="G168" s="237">
        <f t="shared" ref="G168" si="220">SUM(G162:G167)</f>
        <v>1</v>
      </c>
      <c r="H168" s="236">
        <f t="shared" ref="H168" si="221">SUM(H162:H167)</f>
        <v>1</v>
      </c>
      <c r="I168" s="236">
        <f t="shared" ref="I168:P168" si="222">SUM(I162:I167)</f>
        <v>1</v>
      </c>
      <c r="J168" s="236">
        <f t="shared" si="222"/>
        <v>1</v>
      </c>
      <c r="K168" s="236">
        <f t="shared" si="222"/>
        <v>1</v>
      </c>
      <c r="L168" s="236">
        <f t="shared" si="222"/>
        <v>1</v>
      </c>
      <c r="M168" s="236">
        <f t="shared" si="222"/>
        <v>1</v>
      </c>
      <c r="N168" s="236">
        <f t="shared" si="222"/>
        <v>1</v>
      </c>
      <c r="O168" s="236">
        <f t="shared" si="222"/>
        <v>1</v>
      </c>
      <c r="P168" s="236">
        <f t="shared" si="222"/>
        <v>1</v>
      </c>
    </row>
    <row r="169" spans="1:16" ht="12.75" customHeight="1" x14ac:dyDescent="0.25">
      <c r="A169" s="41"/>
      <c r="B169" s="315"/>
      <c r="C169" s="315"/>
      <c r="D169" s="41"/>
      <c r="E169" s="234"/>
      <c r="F169" s="234"/>
      <c r="G169" s="237"/>
      <c r="H169" s="236"/>
      <c r="I169" s="236"/>
      <c r="J169" s="236"/>
      <c r="K169" s="236"/>
      <c r="L169" s="236"/>
      <c r="M169" s="236"/>
      <c r="N169" s="236"/>
      <c r="O169" s="236"/>
      <c r="P169" s="236"/>
    </row>
    <row r="170" spans="1:16" ht="12.75" customHeight="1" x14ac:dyDescent="0.25">
      <c r="A170" s="77" t="s">
        <v>261</v>
      </c>
      <c r="B170" s="123"/>
      <c r="C170" s="123"/>
      <c r="D170" s="16"/>
      <c r="E170" s="618"/>
      <c r="F170" s="618"/>
      <c r="G170" s="619"/>
      <c r="H170" s="618"/>
      <c r="I170" s="618"/>
      <c r="J170" s="618"/>
      <c r="K170" s="618"/>
      <c r="L170" s="618"/>
      <c r="M170" s="618"/>
      <c r="N170" s="618"/>
      <c r="O170" s="618"/>
      <c r="P170" s="618"/>
    </row>
    <row r="171" spans="1:16" ht="12.75" customHeight="1" x14ac:dyDescent="0.25">
      <c r="A171" s="29" t="s">
        <v>216</v>
      </c>
      <c r="B171" s="317"/>
      <c r="C171" s="123"/>
      <c r="E171" s="234"/>
      <c r="F171" s="234"/>
      <c r="G171" s="235"/>
      <c r="H171" s="234"/>
      <c r="I171" s="234"/>
      <c r="J171" s="234"/>
      <c r="K171" s="234"/>
      <c r="L171" s="234"/>
      <c r="M171" s="234"/>
      <c r="N171" s="234"/>
      <c r="O171" s="234"/>
      <c r="P171" s="234"/>
    </row>
    <row r="172" spans="1:16" ht="12.75" customHeight="1" x14ac:dyDescent="0.25">
      <c r="A172" s="41"/>
      <c r="B172" s="315">
        <f>B263</f>
        <v>0</v>
      </c>
      <c r="C172" s="315">
        <f>C263</f>
        <v>3000</v>
      </c>
      <c r="D172" s="41"/>
      <c r="E172" s="622">
        <v>0.4</v>
      </c>
      <c r="F172" s="236">
        <f t="shared" ref="F172:F178" si="223">E172</f>
        <v>0.4</v>
      </c>
      <c r="G172" s="237">
        <f t="shared" ref="G172:I172" si="224">F172</f>
        <v>0.4</v>
      </c>
      <c r="H172" s="236">
        <f t="shared" si="224"/>
        <v>0.4</v>
      </c>
      <c r="I172" s="236">
        <f t="shared" si="224"/>
        <v>0.4</v>
      </c>
      <c r="J172" s="236">
        <f t="shared" ref="J172:J178" si="225">I172</f>
        <v>0.4</v>
      </c>
      <c r="K172" s="236">
        <f t="shared" ref="K172:K178" si="226">J172</f>
        <v>0.4</v>
      </c>
      <c r="L172" s="236">
        <f t="shared" ref="L172:L178" si="227">K172</f>
        <v>0.4</v>
      </c>
      <c r="M172" s="236">
        <f t="shared" ref="M172:M178" si="228">L172</f>
        <v>0.4</v>
      </c>
      <c r="N172" s="236">
        <f t="shared" ref="N172:N178" si="229">M172</f>
        <v>0.4</v>
      </c>
      <c r="O172" s="236">
        <f t="shared" ref="O172:O178" si="230">N172</f>
        <v>0.4</v>
      </c>
      <c r="P172" s="236">
        <f t="shared" ref="P172:P178" si="231">O172</f>
        <v>0.4</v>
      </c>
    </row>
    <row r="173" spans="1:16" ht="12.75" customHeight="1" x14ac:dyDescent="0.25">
      <c r="A173" s="41"/>
      <c r="B173" s="315">
        <f t="shared" ref="B173:C173" si="232">B264</f>
        <v>0</v>
      </c>
      <c r="C173" s="315">
        <f t="shared" si="232"/>
        <v>0</v>
      </c>
      <c r="D173" s="41"/>
      <c r="E173" s="622">
        <v>0.6</v>
      </c>
      <c r="F173" s="236">
        <f t="shared" si="223"/>
        <v>0.6</v>
      </c>
      <c r="G173" s="237">
        <f t="shared" ref="G173:I173" si="233">F173</f>
        <v>0.6</v>
      </c>
      <c r="H173" s="236">
        <f t="shared" si="233"/>
        <v>0.6</v>
      </c>
      <c r="I173" s="236">
        <f t="shared" si="233"/>
        <v>0.6</v>
      </c>
      <c r="J173" s="236">
        <f t="shared" si="225"/>
        <v>0.6</v>
      </c>
      <c r="K173" s="236">
        <f t="shared" si="226"/>
        <v>0.6</v>
      </c>
      <c r="L173" s="236">
        <f t="shared" si="227"/>
        <v>0.6</v>
      </c>
      <c r="M173" s="236">
        <f t="shared" si="228"/>
        <v>0.6</v>
      </c>
      <c r="N173" s="236">
        <f t="shared" si="229"/>
        <v>0.6</v>
      </c>
      <c r="O173" s="236">
        <f t="shared" si="230"/>
        <v>0.6</v>
      </c>
      <c r="P173" s="236">
        <f t="shared" si="231"/>
        <v>0.6</v>
      </c>
    </row>
    <row r="174" spans="1:16" ht="12.75" customHeight="1" x14ac:dyDescent="0.25">
      <c r="A174" s="41"/>
      <c r="B174" s="315">
        <f t="shared" ref="B174:C174" si="234">B265</f>
        <v>0</v>
      </c>
      <c r="C174" s="315">
        <f t="shared" si="234"/>
        <v>0</v>
      </c>
      <c r="D174" s="41"/>
      <c r="E174" s="622">
        <v>0</v>
      </c>
      <c r="F174" s="236">
        <f t="shared" si="223"/>
        <v>0</v>
      </c>
      <c r="G174" s="237">
        <f t="shared" ref="G174:I174" si="235">F174</f>
        <v>0</v>
      </c>
      <c r="H174" s="236">
        <f t="shared" si="235"/>
        <v>0</v>
      </c>
      <c r="I174" s="236">
        <f t="shared" si="235"/>
        <v>0</v>
      </c>
      <c r="J174" s="236">
        <f t="shared" si="225"/>
        <v>0</v>
      </c>
      <c r="K174" s="236">
        <f t="shared" si="226"/>
        <v>0</v>
      </c>
      <c r="L174" s="236">
        <f t="shared" si="227"/>
        <v>0</v>
      </c>
      <c r="M174" s="236">
        <f t="shared" si="228"/>
        <v>0</v>
      </c>
      <c r="N174" s="236">
        <f t="shared" si="229"/>
        <v>0</v>
      </c>
      <c r="O174" s="236">
        <f t="shared" si="230"/>
        <v>0</v>
      </c>
      <c r="P174" s="236">
        <f t="shared" si="231"/>
        <v>0</v>
      </c>
    </row>
    <row r="175" spans="1:16" ht="12.75" customHeight="1" x14ac:dyDescent="0.25">
      <c r="A175" s="41"/>
      <c r="B175" s="315">
        <f t="shared" ref="B175:C175" si="236">B266</f>
        <v>0</v>
      </c>
      <c r="C175" s="315">
        <f t="shared" si="236"/>
        <v>0</v>
      </c>
      <c r="D175" s="41"/>
      <c r="E175" s="622">
        <v>0</v>
      </c>
      <c r="F175" s="236">
        <f t="shared" si="223"/>
        <v>0</v>
      </c>
      <c r="G175" s="237">
        <f t="shared" ref="G175:I175" si="237">F175</f>
        <v>0</v>
      </c>
      <c r="H175" s="236">
        <f t="shared" si="237"/>
        <v>0</v>
      </c>
      <c r="I175" s="236">
        <f t="shared" si="237"/>
        <v>0</v>
      </c>
      <c r="J175" s="236">
        <f t="shared" si="225"/>
        <v>0</v>
      </c>
      <c r="K175" s="236">
        <f t="shared" si="226"/>
        <v>0</v>
      </c>
      <c r="L175" s="236">
        <f t="shared" si="227"/>
        <v>0</v>
      </c>
      <c r="M175" s="236">
        <f t="shared" si="228"/>
        <v>0</v>
      </c>
      <c r="N175" s="236">
        <f t="shared" si="229"/>
        <v>0</v>
      </c>
      <c r="O175" s="236">
        <f t="shared" si="230"/>
        <v>0</v>
      </c>
      <c r="P175" s="236">
        <f t="shared" si="231"/>
        <v>0</v>
      </c>
    </row>
    <row r="176" spans="1:16" ht="12.75" customHeight="1" x14ac:dyDescent="0.25">
      <c r="A176" s="41"/>
      <c r="B176" s="315">
        <f t="shared" ref="B176:C176" si="238">B267</f>
        <v>0</v>
      </c>
      <c r="C176" s="315">
        <f t="shared" si="238"/>
        <v>0</v>
      </c>
      <c r="D176" s="41"/>
      <c r="E176" s="622">
        <v>0</v>
      </c>
      <c r="F176" s="236">
        <f t="shared" si="223"/>
        <v>0</v>
      </c>
      <c r="G176" s="237">
        <f t="shared" ref="G176:I176" si="239">F176</f>
        <v>0</v>
      </c>
      <c r="H176" s="236">
        <f t="shared" si="239"/>
        <v>0</v>
      </c>
      <c r="I176" s="236">
        <f t="shared" si="239"/>
        <v>0</v>
      </c>
      <c r="J176" s="236">
        <f t="shared" si="225"/>
        <v>0</v>
      </c>
      <c r="K176" s="236">
        <f t="shared" si="226"/>
        <v>0</v>
      </c>
      <c r="L176" s="236">
        <f t="shared" si="227"/>
        <v>0</v>
      </c>
      <c r="M176" s="236">
        <f t="shared" si="228"/>
        <v>0</v>
      </c>
      <c r="N176" s="236">
        <f t="shared" si="229"/>
        <v>0</v>
      </c>
      <c r="O176" s="236">
        <f t="shared" si="230"/>
        <v>0</v>
      </c>
      <c r="P176" s="236">
        <f t="shared" si="231"/>
        <v>0</v>
      </c>
    </row>
    <row r="177" spans="1:16" ht="12.75" customHeight="1" x14ac:dyDescent="0.25">
      <c r="A177" s="41"/>
      <c r="B177" s="315">
        <f t="shared" ref="B177:C177" si="240">B268</f>
        <v>0</v>
      </c>
      <c r="C177" s="315">
        <f t="shared" si="240"/>
        <v>0</v>
      </c>
      <c r="D177" s="41"/>
      <c r="E177" s="622">
        <v>0</v>
      </c>
      <c r="F177" s="236">
        <f t="shared" si="223"/>
        <v>0</v>
      </c>
      <c r="G177" s="237">
        <f t="shared" ref="G177:I177" si="241">F177</f>
        <v>0</v>
      </c>
      <c r="H177" s="236">
        <f t="shared" si="241"/>
        <v>0</v>
      </c>
      <c r="I177" s="236">
        <f t="shared" si="241"/>
        <v>0</v>
      </c>
      <c r="J177" s="236">
        <f t="shared" si="225"/>
        <v>0</v>
      </c>
      <c r="K177" s="236">
        <f t="shared" si="226"/>
        <v>0</v>
      </c>
      <c r="L177" s="236">
        <f t="shared" si="227"/>
        <v>0</v>
      </c>
      <c r="M177" s="236">
        <f t="shared" si="228"/>
        <v>0</v>
      </c>
      <c r="N177" s="236">
        <f t="shared" si="229"/>
        <v>0</v>
      </c>
      <c r="O177" s="236">
        <f t="shared" si="230"/>
        <v>0</v>
      </c>
      <c r="P177" s="236">
        <f t="shared" si="231"/>
        <v>0</v>
      </c>
    </row>
    <row r="178" spans="1:16" ht="12.75" customHeight="1" x14ac:dyDescent="0.25">
      <c r="A178" s="41"/>
      <c r="B178" s="316">
        <f t="shared" ref="B178:C178" si="242">B269</f>
        <v>0</v>
      </c>
      <c r="C178" s="316">
        <f t="shared" si="242"/>
        <v>0</v>
      </c>
      <c r="D178" s="223"/>
      <c r="E178" s="623">
        <v>0</v>
      </c>
      <c r="F178" s="616">
        <f t="shared" si="223"/>
        <v>0</v>
      </c>
      <c r="G178" s="617">
        <f t="shared" ref="G178:I178" si="243">F178</f>
        <v>0</v>
      </c>
      <c r="H178" s="616">
        <f t="shared" si="243"/>
        <v>0</v>
      </c>
      <c r="I178" s="616">
        <f t="shared" si="243"/>
        <v>0</v>
      </c>
      <c r="J178" s="616">
        <f t="shared" si="225"/>
        <v>0</v>
      </c>
      <c r="K178" s="616">
        <f t="shared" si="226"/>
        <v>0</v>
      </c>
      <c r="L178" s="616">
        <f t="shared" si="227"/>
        <v>0</v>
      </c>
      <c r="M178" s="616">
        <f t="shared" si="228"/>
        <v>0</v>
      </c>
      <c r="N178" s="616">
        <f t="shared" si="229"/>
        <v>0</v>
      </c>
      <c r="O178" s="616">
        <f t="shared" si="230"/>
        <v>0</v>
      </c>
      <c r="P178" s="616">
        <f t="shared" si="231"/>
        <v>0</v>
      </c>
    </row>
    <row r="179" spans="1:16" ht="12.75" customHeight="1" x14ac:dyDescent="0.25">
      <c r="A179" s="41"/>
      <c r="B179" s="315"/>
      <c r="C179" s="315" t="s">
        <v>219</v>
      </c>
      <c r="D179" s="41"/>
      <c r="E179" s="234">
        <f>SUM(E172:E178)</f>
        <v>1</v>
      </c>
      <c r="F179" s="234">
        <f t="shared" ref="F179:I179" si="244">SUM(F172:F178)</f>
        <v>1</v>
      </c>
      <c r="G179" s="237">
        <f t="shared" si="244"/>
        <v>1</v>
      </c>
      <c r="H179" s="236">
        <f t="shared" si="244"/>
        <v>1</v>
      </c>
      <c r="I179" s="236">
        <f t="shared" si="244"/>
        <v>1</v>
      </c>
      <c r="J179" s="236">
        <f t="shared" ref="J179:P179" si="245">SUM(J172:J178)</f>
        <v>1</v>
      </c>
      <c r="K179" s="236">
        <f t="shared" si="245"/>
        <v>1</v>
      </c>
      <c r="L179" s="236">
        <f t="shared" si="245"/>
        <v>1</v>
      </c>
      <c r="M179" s="236">
        <f t="shared" si="245"/>
        <v>1</v>
      </c>
      <c r="N179" s="236">
        <f t="shared" si="245"/>
        <v>1</v>
      </c>
      <c r="O179" s="236">
        <f t="shared" si="245"/>
        <v>1</v>
      </c>
      <c r="P179" s="236">
        <f t="shared" si="245"/>
        <v>1</v>
      </c>
    </row>
    <row r="180" spans="1:16" ht="12.75" customHeight="1" x14ac:dyDescent="0.25">
      <c r="A180" s="41"/>
      <c r="B180" s="315"/>
      <c r="C180" s="315"/>
      <c r="D180" s="41"/>
      <c r="E180" s="234"/>
      <c r="F180" s="234"/>
      <c r="G180" s="235"/>
      <c r="H180" s="234"/>
      <c r="I180" s="234"/>
      <c r="J180" s="234"/>
      <c r="K180" s="234"/>
      <c r="L180" s="234"/>
      <c r="M180" s="234"/>
      <c r="N180" s="234"/>
      <c r="O180" s="234"/>
      <c r="P180" s="234"/>
    </row>
    <row r="181" spans="1:16" ht="12.75" customHeight="1" x14ac:dyDescent="0.25">
      <c r="A181" s="29" t="s">
        <v>343</v>
      </c>
      <c r="B181" s="317"/>
      <c r="C181" s="123"/>
      <c r="E181" s="234"/>
      <c r="F181" s="234"/>
      <c r="G181" s="235"/>
      <c r="H181" s="234"/>
      <c r="I181" s="234"/>
      <c r="J181" s="234"/>
      <c r="K181" s="234"/>
      <c r="L181" s="234"/>
      <c r="M181" s="234"/>
      <c r="N181" s="234"/>
      <c r="O181" s="234"/>
      <c r="P181" s="234"/>
    </row>
    <row r="182" spans="1:16" ht="12.75" customHeight="1" x14ac:dyDescent="0.25">
      <c r="A182" s="41"/>
      <c r="B182" s="315">
        <f>B273</f>
        <v>0</v>
      </c>
      <c r="C182" s="315">
        <f>C273</f>
        <v>3000</v>
      </c>
      <c r="D182" s="41"/>
      <c r="E182" s="622">
        <v>0.25</v>
      </c>
      <c r="F182" s="236">
        <f t="shared" ref="F182:F187" si="246">E182</f>
        <v>0.25</v>
      </c>
      <c r="G182" s="237">
        <f t="shared" ref="G182:I182" si="247">F182</f>
        <v>0.25</v>
      </c>
      <c r="H182" s="236">
        <f t="shared" si="247"/>
        <v>0.25</v>
      </c>
      <c r="I182" s="236">
        <f t="shared" si="247"/>
        <v>0.25</v>
      </c>
      <c r="J182" s="236">
        <f t="shared" ref="J182:J187" si="248">I182</f>
        <v>0.25</v>
      </c>
      <c r="K182" s="236">
        <f t="shared" ref="K182:K187" si="249">J182</f>
        <v>0.25</v>
      </c>
      <c r="L182" s="236">
        <f t="shared" ref="L182:L187" si="250">K182</f>
        <v>0.25</v>
      </c>
      <c r="M182" s="236">
        <f t="shared" ref="M182:M187" si="251">L182</f>
        <v>0.25</v>
      </c>
      <c r="N182" s="236">
        <f t="shared" ref="N182:N187" si="252">M182</f>
        <v>0.25</v>
      </c>
      <c r="O182" s="236">
        <f t="shared" ref="O182:O187" si="253">N182</f>
        <v>0.25</v>
      </c>
      <c r="P182" s="236">
        <f t="shared" ref="P182:P187" si="254">O182</f>
        <v>0.25</v>
      </c>
    </row>
    <row r="183" spans="1:16" ht="12.75" customHeight="1" x14ac:dyDescent="0.25">
      <c r="A183" s="41"/>
      <c r="B183" s="315">
        <f t="shared" ref="B183:C183" si="255">B274</f>
        <v>0</v>
      </c>
      <c r="C183" s="315">
        <f t="shared" si="255"/>
        <v>0</v>
      </c>
      <c r="D183" s="41"/>
      <c r="E183" s="622">
        <v>0.75</v>
      </c>
      <c r="F183" s="236">
        <f t="shared" si="246"/>
        <v>0.75</v>
      </c>
      <c r="G183" s="237">
        <f t="shared" ref="G183:I183" si="256">F183</f>
        <v>0.75</v>
      </c>
      <c r="H183" s="236">
        <f t="shared" si="256"/>
        <v>0.75</v>
      </c>
      <c r="I183" s="236">
        <f t="shared" si="256"/>
        <v>0.75</v>
      </c>
      <c r="J183" s="236">
        <f t="shared" si="248"/>
        <v>0.75</v>
      </c>
      <c r="K183" s="236">
        <f t="shared" si="249"/>
        <v>0.75</v>
      </c>
      <c r="L183" s="236">
        <f t="shared" si="250"/>
        <v>0.75</v>
      </c>
      <c r="M183" s="236">
        <f t="shared" si="251"/>
        <v>0.75</v>
      </c>
      <c r="N183" s="236">
        <f t="shared" si="252"/>
        <v>0.75</v>
      </c>
      <c r="O183" s="236">
        <f t="shared" si="253"/>
        <v>0.75</v>
      </c>
      <c r="P183" s="236">
        <f t="shared" si="254"/>
        <v>0.75</v>
      </c>
    </row>
    <row r="184" spans="1:16" ht="12.75" customHeight="1" x14ac:dyDescent="0.25">
      <c r="A184" s="41"/>
      <c r="B184" s="315">
        <f t="shared" ref="B184:C184" si="257">B275</f>
        <v>0</v>
      </c>
      <c r="C184" s="315">
        <f t="shared" si="257"/>
        <v>0</v>
      </c>
      <c r="D184" s="41"/>
      <c r="E184" s="622">
        <v>0</v>
      </c>
      <c r="F184" s="236">
        <f t="shared" si="246"/>
        <v>0</v>
      </c>
      <c r="G184" s="237">
        <f t="shared" ref="G184:I184" si="258">F184</f>
        <v>0</v>
      </c>
      <c r="H184" s="236">
        <f t="shared" si="258"/>
        <v>0</v>
      </c>
      <c r="I184" s="236">
        <f t="shared" si="258"/>
        <v>0</v>
      </c>
      <c r="J184" s="236">
        <f t="shared" si="248"/>
        <v>0</v>
      </c>
      <c r="K184" s="236">
        <f t="shared" si="249"/>
        <v>0</v>
      </c>
      <c r="L184" s="236">
        <f t="shared" si="250"/>
        <v>0</v>
      </c>
      <c r="M184" s="236">
        <f t="shared" si="251"/>
        <v>0</v>
      </c>
      <c r="N184" s="236">
        <f t="shared" si="252"/>
        <v>0</v>
      </c>
      <c r="O184" s="236">
        <f t="shared" si="253"/>
        <v>0</v>
      </c>
      <c r="P184" s="236">
        <f t="shared" si="254"/>
        <v>0</v>
      </c>
    </row>
    <row r="185" spans="1:16" ht="12.75" customHeight="1" x14ac:dyDescent="0.25">
      <c r="A185" s="41"/>
      <c r="B185" s="315">
        <f t="shared" ref="B185:C185" si="259">B276</f>
        <v>0</v>
      </c>
      <c r="C185" s="315">
        <f t="shared" si="259"/>
        <v>0</v>
      </c>
      <c r="D185" s="41"/>
      <c r="E185" s="622">
        <v>0</v>
      </c>
      <c r="F185" s="236">
        <f t="shared" si="246"/>
        <v>0</v>
      </c>
      <c r="G185" s="237">
        <f t="shared" ref="G185:I185" si="260">F185</f>
        <v>0</v>
      </c>
      <c r="H185" s="236">
        <f t="shared" si="260"/>
        <v>0</v>
      </c>
      <c r="I185" s="236">
        <f t="shared" si="260"/>
        <v>0</v>
      </c>
      <c r="J185" s="236">
        <f t="shared" si="248"/>
        <v>0</v>
      </c>
      <c r="K185" s="236">
        <f t="shared" si="249"/>
        <v>0</v>
      </c>
      <c r="L185" s="236">
        <f t="shared" si="250"/>
        <v>0</v>
      </c>
      <c r="M185" s="236">
        <f t="shared" si="251"/>
        <v>0</v>
      </c>
      <c r="N185" s="236">
        <f t="shared" si="252"/>
        <v>0</v>
      </c>
      <c r="O185" s="236">
        <f t="shared" si="253"/>
        <v>0</v>
      </c>
      <c r="P185" s="236">
        <f t="shared" si="254"/>
        <v>0</v>
      </c>
    </row>
    <row r="186" spans="1:16" ht="12.75" customHeight="1" x14ac:dyDescent="0.25">
      <c r="A186" s="41"/>
      <c r="B186" s="315">
        <f t="shared" ref="B186:C186" si="261">B277</f>
        <v>0</v>
      </c>
      <c r="C186" s="315">
        <f t="shared" si="261"/>
        <v>0</v>
      </c>
      <c r="D186" s="41"/>
      <c r="E186" s="622">
        <v>0</v>
      </c>
      <c r="F186" s="236">
        <f t="shared" si="246"/>
        <v>0</v>
      </c>
      <c r="G186" s="237">
        <f t="shared" ref="G186:I186" si="262">F186</f>
        <v>0</v>
      </c>
      <c r="H186" s="236">
        <f t="shared" si="262"/>
        <v>0</v>
      </c>
      <c r="I186" s="236">
        <f t="shared" si="262"/>
        <v>0</v>
      </c>
      <c r="J186" s="236">
        <f t="shared" si="248"/>
        <v>0</v>
      </c>
      <c r="K186" s="236">
        <f t="shared" si="249"/>
        <v>0</v>
      </c>
      <c r="L186" s="236">
        <f t="shared" si="250"/>
        <v>0</v>
      </c>
      <c r="M186" s="236">
        <f t="shared" si="251"/>
        <v>0</v>
      </c>
      <c r="N186" s="236">
        <f t="shared" si="252"/>
        <v>0</v>
      </c>
      <c r="O186" s="236">
        <f t="shared" si="253"/>
        <v>0</v>
      </c>
      <c r="P186" s="236">
        <f t="shared" si="254"/>
        <v>0</v>
      </c>
    </row>
    <row r="187" spans="1:16" ht="12.75" customHeight="1" x14ac:dyDescent="0.25">
      <c r="A187" s="41"/>
      <c r="B187" s="316">
        <f t="shared" ref="B187:C187" si="263">B278</f>
        <v>0</v>
      </c>
      <c r="C187" s="316">
        <f t="shared" si="263"/>
        <v>0</v>
      </c>
      <c r="D187" s="223"/>
      <c r="E187" s="623">
        <v>0</v>
      </c>
      <c r="F187" s="616">
        <f t="shared" si="246"/>
        <v>0</v>
      </c>
      <c r="G187" s="617">
        <f t="shared" ref="G187:I187" si="264">F187</f>
        <v>0</v>
      </c>
      <c r="H187" s="616">
        <f t="shared" si="264"/>
        <v>0</v>
      </c>
      <c r="I187" s="616">
        <f t="shared" si="264"/>
        <v>0</v>
      </c>
      <c r="J187" s="616">
        <f t="shared" si="248"/>
        <v>0</v>
      </c>
      <c r="K187" s="616">
        <f t="shared" si="249"/>
        <v>0</v>
      </c>
      <c r="L187" s="616">
        <f t="shared" si="250"/>
        <v>0</v>
      </c>
      <c r="M187" s="616">
        <f t="shared" si="251"/>
        <v>0</v>
      </c>
      <c r="N187" s="616">
        <f t="shared" si="252"/>
        <v>0</v>
      </c>
      <c r="O187" s="616">
        <f t="shared" si="253"/>
        <v>0</v>
      </c>
      <c r="P187" s="616">
        <f t="shared" si="254"/>
        <v>0</v>
      </c>
    </row>
    <row r="188" spans="1:16" ht="12.75" customHeight="1" x14ac:dyDescent="0.25">
      <c r="A188" s="41"/>
      <c r="B188" s="315"/>
      <c r="C188" s="315" t="s">
        <v>219</v>
      </c>
      <c r="D188" s="41"/>
      <c r="E188" s="234">
        <f>SUM(E182:E187)</f>
        <v>1</v>
      </c>
      <c r="F188" s="234">
        <f t="shared" ref="F188:I188" si="265">SUM(F182:F187)</f>
        <v>1</v>
      </c>
      <c r="G188" s="237">
        <f t="shared" si="265"/>
        <v>1</v>
      </c>
      <c r="H188" s="236">
        <f t="shared" si="265"/>
        <v>1</v>
      </c>
      <c r="I188" s="236">
        <f t="shared" si="265"/>
        <v>1</v>
      </c>
      <c r="J188" s="236">
        <f t="shared" ref="J188:P188" si="266">SUM(J182:J187)</f>
        <v>1</v>
      </c>
      <c r="K188" s="236">
        <f t="shared" si="266"/>
        <v>1</v>
      </c>
      <c r="L188" s="236">
        <f t="shared" si="266"/>
        <v>1</v>
      </c>
      <c r="M188" s="236">
        <f t="shared" si="266"/>
        <v>1</v>
      </c>
      <c r="N188" s="236">
        <f t="shared" si="266"/>
        <v>1</v>
      </c>
      <c r="O188" s="236">
        <f t="shared" si="266"/>
        <v>1</v>
      </c>
      <c r="P188" s="236">
        <f t="shared" si="266"/>
        <v>1</v>
      </c>
    </row>
    <row r="189" spans="1:16" ht="12.75" customHeight="1" x14ac:dyDescent="0.25">
      <c r="A189" s="41"/>
      <c r="B189" s="315"/>
      <c r="C189" s="315"/>
      <c r="D189" s="41"/>
      <c r="E189" s="234"/>
      <c r="F189" s="234"/>
      <c r="G189" s="235"/>
      <c r="H189" s="234"/>
      <c r="I189" s="234"/>
      <c r="J189" s="234"/>
      <c r="K189" s="234"/>
      <c r="L189" s="234"/>
      <c r="M189" s="234"/>
      <c r="N189" s="234"/>
      <c r="O189" s="234"/>
      <c r="P189" s="234"/>
    </row>
    <row r="190" spans="1:16" ht="12.75" customHeight="1" x14ac:dyDescent="0.25">
      <c r="A190" s="29" t="s">
        <v>297</v>
      </c>
      <c r="B190" s="317"/>
      <c r="C190" s="123"/>
      <c r="E190" s="234"/>
      <c r="F190" s="234"/>
      <c r="G190" s="235"/>
      <c r="H190" s="234"/>
      <c r="I190" s="234"/>
      <c r="J190" s="234"/>
      <c r="K190" s="234"/>
      <c r="L190" s="234"/>
      <c r="M190" s="234"/>
      <c r="N190" s="234"/>
      <c r="O190" s="234"/>
      <c r="P190" s="234"/>
    </row>
    <row r="191" spans="1:16" ht="12.75" customHeight="1" x14ac:dyDescent="0.25">
      <c r="A191" s="41"/>
      <c r="B191" s="315">
        <f>B282</f>
        <v>0</v>
      </c>
      <c r="C191" s="315">
        <f>C282</f>
        <v>99999999</v>
      </c>
      <c r="D191" s="41"/>
      <c r="E191" s="622">
        <v>1</v>
      </c>
      <c r="F191" s="236">
        <f t="shared" ref="F191:F196" si="267">E191</f>
        <v>1</v>
      </c>
      <c r="G191" s="237">
        <f t="shared" ref="G191:I191" si="268">F191</f>
        <v>1</v>
      </c>
      <c r="H191" s="236">
        <f t="shared" si="268"/>
        <v>1</v>
      </c>
      <c r="I191" s="236">
        <f t="shared" si="268"/>
        <v>1</v>
      </c>
      <c r="J191" s="236">
        <f t="shared" ref="J191:J196" si="269">I191</f>
        <v>1</v>
      </c>
      <c r="K191" s="236">
        <f t="shared" ref="K191:K196" si="270">J191</f>
        <v>1</v>
      </c>
      <c r="L191" s="236">
        <f t="shared" ref="L191:L196" si="271">K191</f>
        <v>1</v>
      </c>
      <c r="M191" s="236">
        <f t="shared" ref="M191:M196" si="272">L191</f>
        <v>1</v>
      </c>
      <c r="N191" s="236">
        <f t="shared" ref="N191:N196" si="273">M191</f>
        <v>1</v>
      </c>
      <c r="O191" s="236">
        <f t="shared" ref="O191:O196" si="274">N191</f>
        <v>1</v>
      </c>
      <c r="P191" s="236">
        <f t="shared" ref="P191:P196" si="275">O191</f>
        <v>1</v>
      </c>
    </row>
    <row r="192" spans="1:16" ht="12.75" customHeight="1" x14ac:dyDescent="0.25">
      <c r="A192" s="41"/>
      <c r="B192" s="315">
        <f t="shared" ref="B192:C192" si="276">B283</f>
        <v>0</v>
      </c>
      <c r="C192" s="315">
        <f t="shared" si="276"/>
        <v>0</v>
      </c>
      <c r="D192" s="41"/>
      <c r="E192" s="622">
        <v>0</v>
      </c>
      <c r="F192" s="236">
        <f t="shared" si="267"/>
        <v>0</v>
      </c>
      <c r="G192" s="237">
        <f t="shared" ref="G192:I192" si="277">F192</f>
        <v>0</v>
      </c>
      <c r="H192" s="236">
        <f t="shared" si="277"/>
        <v>0</v>
      </c>
      <c r="I192" s="236">
        <f t="shared" si="277"/>
        <v>0</v>
      </c>
      <c r="J192" s="236">
        <f t="shared" si="269"/>
        <v>0</v>
      </c>
      <c r="K192" s="236">
        <f t="shared" si="270"/>
        <v>0</v>
      </c>
      <c r="L192" s="236">
        <f t="shared" si="271"/>
        <v>0</v>
      </c>
      <c r="M192" s="236">
        <f t="shared" si="272"/>
        <v>0</v>
      </c>
      <c r="N192" s="236">
        <f t="shared" si="273"/>
        <v>0</v>
      </c>
      <c r="O192" s="236">
        <f t="shared" si="274"/>
        <v>0</v>
      </c>
      <c r="P192" s="236">
        <f t="shared" si="275"/>
        <v>0</v>
      </c>
    </row>
    <row r="193" spans="1:16" ht="12.75" customHeight="1" x14ac:dyDescent="0.25">
      <c r="A193" s="41"/>
      <c r="B193" s="315">
        <f t="shared" ref="B193:C193" si="278">B284</f>
        <v>0</v>
      </c>
      <c r="C193" s="315">
        <f t="shared" si="278"/>
        <v>0</v>
      </c>
      <c r="D193" s="41"/>
      <c r="E193" s="622">
        <v>0</v>
      </c>
      <c r="F193" s="236">
        <f t="shared" si="267"/>
        <v>0</v>
      </c>
      <c r="G193" s="237">
        <f t="shared" ref="G193:I193" si="279">F193</f>
        <v>0</v>
      </c>
      <c r="H193" s="236">
        <f t="shared" si="279"/>
        <v>0</v>
      </c>
      <c r="I193" s="236">
        <f t="shared" si="279"/>
        <v>0</v>
      </c>
      <c r="J193" s="236">
        <f t="shared" si="269"/>
        <v>0</v>
      </c>
      <c r="K193" s="236">
        <f t="shared" si="270"/>
        <v>0</v>
      </c>
      <c r="L193" s="236">
        <f t="shared" si="271"/>
        <v>0</v>
      </c>
      <c r="M193" s="236">
        <f t="shared" si="272"/>
        <v>0</v>
      </c>
      <c r="N193" s="236">
        <f t="shared" si="273"/>
        <v>0</v>
      </c>
      <c r="O193" s="236">
        <f t="shared" si="274"/>
        <v>0</v>
      </c>
      <c r="P193" s="236">
        <f t="shared" si="275"/>
        <v>0</v>
      </c>
    </row>
    <row r="194" spans="1:16" ht="12.75" customHeight="1" x14ac:dyDescent="0.25">
      <c r="A194" s="41"/>
      <c r="B194" s="315">
        <f t="shared" ref="B194:C194" si="280">B285</f>
        <v>0</v>
      </c>
      <c r="C194" s="315">
        <f t="shared" si="280"/>
        <v>0</v>
      </c>
      <c r="D194" s="41"/>
      <c r="E194" s="622">
        <v>0</v>
      </c>
      <c r="F194" s="236">
        <f t="shared" si="267"/>
        <v>0</v>
      </c>
      <c r="G194" s="237">
        <f t="shared" ref="G194:I194" si="281">F194</f>
        <v>0</v>
      </c>
      <c r="H194" s="236">
        <f t="shared" si="281"/>
        <v>0</v>
      </c>
      <c r="I194" s="236">
        <f t="shared" si="281"/>
        <v>0</v>
      </c>
      <c r="J194" s="236">
        <f t="shared" si="269"/>
        <v>0</v>
      </c>
      <c r="K194" s="236">
        <f t="shared" si="270"/>
        <v>0</v>
      </c>
      <c r="L194" s="236">
        <f t="shared" si="271"/>
        <v>0</v>
      </c>
      <c r="M194" s="236">
        <f t="shared" si="272"/>
        <v>0</v>
      </c>
      <c r="N194" s="236">
        <f t="shared" si="273"/>
        <v>0</v>
      </c>
      <c r="O194" s="236">
        <f t="shared" si="274"/>
        <v>0</v>
      </c>
      <c r="P194" s="236">
        <f t="shared" si="275"/>
        <v>0</v>
      </c>
    </row>
    <row r="195" spans="1:16" ht="12.75" customHeight="1" x14ac:dyDescent="0.25">
      <c r="A195" s="41"/>
      <c r="B195" s="315">
        <f t="shared" ref="B195:C195" si="282">B286</f>
        <v>0</v>
      </c>
      <c r="C195" s="315">
        <f t="shared" si="282"/>
        <v>0</v>
      </c>
      <c r="D195" s="41"/>
      <c r="E195" s="622">
        <v>0</v>
      </c>
      <c r="F195" s="236">
        <f t="shared" si="267"/>
        <v>0</v>
      </c>
      <c r="G195" s="237">
        <f t="shared" ref="G195:I195" si="283">F195</f>
        <v>0</v>
      </c>
      <c r="H195" s="236">
        <f t="shared" si="283"/>
        <v>0</v>
      </c>
      <c r="I195" s="236">
        <f t="shared" si="283"/>
        <v>0</v>
      </c>
      <c r="J195" s="236">
        <f t="shared" si="269"/>
        <v>0</v>
      </c>
      <c r="K195" s="236">
        <f t="shared" si="270"/>
        <v>0</v>
      </c>
      <c r="L195" s="236">
        <f t="shared" si="271"/>
        <v>0</v>
      </c>
      <c r="M195" s="236">
        <f t="shared" si="272"/>
        <v>0</v>
      </c>
      <c r="N195" s="236">
        <f t="shared" si="273"/>
        <v>0</v>
      </c>
      <c r="O195" s="236">
        <f t="shared" si="274"/>
        <v>0</v>
      </c>
      <c r="P195" s="236">
        <f t="shared" si="275"/>
        <v>0</v>
      </c>
    </row>
    <row r="196" spans="1:16" ht="12.75" customHeight="1" x14ac:dyDescent="0.25">
      <c r="A196" s="41"/>
      <c r="B196" s="316">
        <f t="shared" ref="B196:C196" si="284">B287</f>
        <v>0</v>
      </c>
      <c r="C196" s="316">
        <f t="shared" si="284"/>
        <v>0</v>
      </c>
      <c r="D196" s="223"/>
      <c r="E196" s="623">
        <v>0</v>
      </c>
      <c r="F196" s="616">
        <f t="shared" si="267"/>
        <v>0</v>
      </c>
      <c r="G196" s="617">
        <f t="shared" ref="G196:I196" si="285">F196</f>
        <v>0</v>
      </c>
      <c r="H196" s="616">
        <f t="shared" si="285"/>
        <v>0</v>
      </c>
      <c r="I196" s="616">
        <f t="shared" si="285"/>
        <v>0</v>
      </c>
      <c r="J196" s="616">
        <f t="shared" si="269"/>
        <v>0</v>
      </c>
      <c r="K196" s="616">
        <f t="shared" si="270"/>
        <v>0</v>
      </c>
      <c r="L196" s="616">
        <f t="shared" si="271"/>
        <v>0</v>
      </c>
      <c r="M196" s="616">
        <f t="shared" si="272"/>
        <v>0</v>
      </c>
      <c r="N196" s="616">
        <f t="shared" si="273"/>
        <v>0</v>
      </c>
      <c r="O196" s="616">
        <f t="shared" si="274"/>
        <v>0</v>
      </c>
      <c r="P196" s="616">
        <f t="shared" si="275"/>
        <v>0</v>
      </c>
    </row>
    <row r="197" spans="1:16" ht="12.75" customHeight="1" x14ac:dyDescent="0.25">
      <c r="A197" s="41"/>
      <c r="B197" s="315"/>
      <c r="C197" s="315" t="s">
        <v>219</v>
      </c>
      <c r="D197" s="41"/>
      <c r="E197" s="234">
        <f>SUM(E191:E196)</f>
        <v>1</v>
      </c>
      <c r="F197" s="234">
        <f t="shared" ref="F197" si="286">SUM(F191:F196)</f>
        <v>1</v>
      </c>
      <c r="G197" s="237">
        <f t="shared" ref="G197" si="287">SUM(G191:G196)</f>
        <v>1</v>
      </c>
      <c r="H197" s="236">
        <f t="shared" ref="H197" si="288">SUM(H191:H196)</f>
        <v>1</v>
      </c>
      <c r="I197" s="236">
        <f t="shared" ref="I197:P197" si="289">SUM(I191:I196)</f>
        <v>1</v>
      </c>
      <c r="J197" s="236">
        <f t="shared" si="289"/>
        <v>1</v>
      </c>
      <c r="K197" s="236">
        <f t="shared" si="289"/>
        <v>1</v>
      </c>
      <c r="L197" s="236">
        <f t="shared" si="289"/>
        <v>1</v>
      </c>
      <c r="M197" s="236">
        <f t="shared" si="289"/>
        <v>1</v>
      </c>
      <c r="N197" s="236">
        <f t="shared" si="289"/>
        <v>1</v>
      </c>
      <c r="O197" s="236">
        <f t="shared" si="289"/>
        <v>1</v>
      </c>
      <c r="P197" s="236">
        <f t="shared" si="289"/>
        <v>1</v>
      </c>
    </row>
    <row r="198" spans="1:16" ht="12.75" customHeight="1" x14ac:dyDescent="0.25">
      <c r="A198" s="41"/>
      <c r="B198" s="315"/>
      <c r="C198" s="315"/>
      <c r="D198" s="41"/>
      <c r="E198" s="234"/>
      <c r="F198" s="234"/>
      <c r="G198" s="235"/>
      <c r="H198" s="234"/>
      <c r="I198" s="234"/>
      <c r="J198" s="234"/>
      <c r="K198" s="234"/>
      <c r="L198" s="234"/>
      <c r="M198" s="234"/>
      <c r="N198" s="234"/>
      <c r="O198" s="234"/>
      <c r="P198" s="234"/>
    </row>
    <row r="199" spans="1:16" ht="12.75" customHeight="1" x14ac:dyDescent="0.25">
      <c r="A199" s="29" t="s">
        <v>297</v>
      </c>
      <c r="B199" s="317"/>
      <c r="C199" s="123"/>
      <c r="E199" s="234"/>
      <c r="F199" s="234"/>
      <c r="G199" s="235"/>
      <c r="H199" s="234"/>
      <c r="I199" s="234"/>
      <c r="J199" s="234"/>
      <c r="K199" s="234"/>
      <c r="L199" s="234"/>
      <c r="M199" s="234"/>
      <c r="N199" s="234"/>
      <c r="O199" s="234"/>
      <c r="P199" s="234"/>
    </row>
    <row r="200" spans="1:16" ht="12.75" customHeight="1" x14ac:dyDescent="0.25">
      <c r="A200" s="41"/>
      <c r="B200" s="315">
        <f>B291</f>
        <v>0</v>
      </c>
      <c r="C200" s="315">
        <f>C291</f>
        <v>99999999</v>
      </c>
      <c r="D200" s="41"/>
      <c r="E200" s="622">
        <v>1</v>
      </c>
      <c r="F200" s="236">
        <f t="shared" ref="F200:F205" si="290">E200</f>
        <v>1</v>
      </c>
      <c r="G200" s="237">
        <f t="shared" ref="G200:I200" si="291">F200</f>
        <v>1</v>
      </c>
      <c r="H200" s="236">
        <f t="shared" si="291"/>
        <v>1</v>
      </c>
      <c r="I200" s="236">
        <f t="shared" si="291"/>
        <v>1</v>
      </c>
      <c r="J200" s="236">
        <f t="shared" ref="J200:J205" si="292">I200</f>
        <v>1</v>
      </c>
      <c r="K200" s="236">
        <f t="shared" ref="K200:K205" si="293">J200</f>
        <v>1</v>
      </c>
      <c r="L200" s="236">
        <f t="shared" ref="L200:L205" si="294">K200</f>
        <v>1</v>
      </c>
      <c r="M200" s="236">
        <f t="shared" ref="M200:M205" si="295">L200</f>
        <v>1</v>
      </c>
      <c r="N200" s="236">
        <f t="shared" ref="N200:N205" si="296">M200</f>
        <v>1</v>
      </c>
      <c r="O200" s="236">
        <f t="shared" ref="O200:O205" si="297">N200</f>
        <v>1</v>
      </c>
      <c r="P200" s="236">
        <f t="shared" ref="P200:P205" si="298">O200</f>
        <v>1</v>
      </c>
    </row>
    <row r="201" spans="1:16" ht="12.75" customHeight="1" x14ac:dyDescent="0.25">
      <c r="A201" s="41"/>
      <c r="B201" s="315">
        <f t="shared" ref="B201:C201" si="299">B292</f>
        <v>0</v>
      </c>
      <c r="C201" s="315">
        <f t="shared" si="299"/>
        <v>0</v>
      </c>
      <c r="D201" s="41"/>
      <c r="E201" s="622">
        <v>0</v>
      </c>
      <c r="F201" s="236">
        <f t="shared" si="290"/>
        <v>0</v>
      </c>
      <c r="G201" s="237">
        <f t="shared" ref="G201:I201" si="300">F201</f>
        <v>0</v>
      </c>
      <c r="H201" s="236">
        <f t="shared" si="300"/>
        <v>0</v>
      </c>
      <c r="I201" s="236">
        <f t="shared" si="300"/>
        <v>0</v>
      </c>
      <c r="J201" s="236">
        <f t="shared" si="292"/>
        <v>0</v>
      </c>
      <c r="K201" s="236">
        <f t="shared" si="293"/>
        <v>0</v>
      </c>
      <c r="L201" s="236">
        <f t="shared" si="294"/>
        <v>0</v>
      </c>
      <c r="M201" s="236">
        <f t="shared" si="295"/>
        <v>0</v>
      </c>
      <c r="N201" s="236">
        <f t="shared" si="296"/>
        <v>0</v>
      </c>
      <c r="O201" s="236">
        <f t="shared" si="297"/>
        <v>0</v>
      </c>
      <c r="P201" s="236">
        <f t="shared" si="298"/>
        <v>0</v>
      </c>
    </row>
    <row r="202" spans="1:16" ht="12.75" customHeight="1" x14ac:dyDescent="0.25">
      <c r="A202" s="41"/>
      <c r="B202" s="315">
        <f t="shared" ref="B202:C202" si="301">B293</f>
        <v>0</v>
      </c>
      <c r="C202" s="315">
        <f t="shared" si="301"/>
        <v>0</v>
      </c>
      <c r="D202" s="41"/>
      <c r="E202" s="622">
        <v>0</v>
      </c>
      <c r="F202" s="236">
        <f t="shared" si="290"/>
        <v>0</v>
      </c>
      <c r="G202" s="237">
        <f t="shared" ref="G202:I202" si="302">F202</f>
        <v>0</v>
      </c>
      <c r="H202" s="236">
        <f t="shared" si="302"/>
        <v>0</v>
      </c>
      <c r="I202" s="236">
        <f t="shared" si="302"/>
        <v>0</v>
      </c>
      <c r="J202" s="236">
        <f t="shared" si="292"/>
        <v>0</v>
      </c>
      <c r="K202" s="236">
        <f t="shared" si="293"/>
        <v>0</v>
      </c>
      <c r="L202" s="236">
        <f t="shared" si="294"/>
        <v>0</v>
      </c>
      <c r="M202" s="236">
        <f t="shared" si="295"/>
        <v>0</v>
      </c>
      <c r="N202" s="236">
        <f t="shared" si="296"/>
        <v>0</v>
      </c>
      <c r="O202" s="236">
        <f t="shared" si="297"/>
        <v>0</v>
      </c>
      <c r="P202" s="236">
        <f t="shared" si="298"/>
        <v>0</v>
      </c>
    </row>
    <row r="203" spans="1:16" ht="12.75" customHeight="1" x14ac:dyDescent="0.25">
      <c r="A203" s="41"/>
      <c r="B203" s="315">
        <f t="shared" ref="B203:C203" si="303">B294</f>
        <v>0</v>
      </c>
      <c r="C203" s="315">
        <f t="shared" si="303"/>
        <v>0</v>
      </c>
      <c r="D203" s="41"/>
      <c r="E203" s="622">
        <v>0</v>
      </c>
      <c r="F203" s="236">
        <f t="shared" si="290"/>
        <v>0</v>
      </c>
      <c r="G203" s="237">
        <f t="shared" ref="G203:I203" si="304">F203</f>
        <v>0</v>
      </c>
      <c r="H203" s="236">
        <f t="shared" si="304"/>
        <v>0</v>
      </c>
      <c r="I203" s="236">
        <f t="shared" si="304"/>
        <v>0</v>
      </c>
      <c r="J203" s="236">
        <f t="shared" si="292"/>
        <v>0</v>
      </c>
      <c r="K203" s="236">
        <f t="shared" si="293"/>
        <v>0</v>
      </c>
      <c r="L203" s="236">
        <f t="shared" si="294"/>
        <v>0</v>
      </c>
      <c r="M203" s="236">
        <f t="shared" si="295"/>
        <v>0</v>
      </c>
      <c r="N203" s="236">
        <f t="shared" si="296"/>
        <v>0</v>
      </c>
      <c r="O203" s="236">
        <f t="shared" si="297"/>
        <v>0</v>
      </c>
      <c r="P203" s="236">
        <f t="shared" si="298"/>
        <v>0</v>
      </c>
    </row>
    <row r="204" spans="1:16" ht="12.75" customHeight="1" x14ac:dyDescent="0.25">
      <c r="A204" s="41"/>
      <c r="B204" s="315">
        <f t="shared" ref="B204:C204" si="305">B295</f>
        <v>0</v>
      </c>
      <c r="C204" s="315">
        <f t="shared" si="305"/>
        <v>0</v>
      </c>
      <c r="D204" s="41"/>
      <c r="E204" s="622">
        <v>0</v>
      </c>
      <c r="F204" s="236">
        <f t="shared" si="290"/>
        <v>0</v>
      </c>
      <c r="G204" s="237">
        <f t="shared" ref="G204:I204" si="306">F204</f>
        <v>0</v>
      </c>
      <c r="H204" s="236">
        <f t="shared" si="306"/>
        <v>0</v>
      </c>
      <c r="I204" s="236">
        <f t="shared" si="306"/>
        <v>0</v>
      </c>
      <c r="J204" s="236">
        <f t="shared" si="292"/>
        <v>0</v>
      </c>
      <c r="K204" s="236">
        <f t="shared" si="293"/>
        <v>0</v>
      </c>
      <c r="L204" s="236">
        <f t="shared" si="294"/>
        <v>0</v>
      </c>
      <c r="M204" s="236">
        <f t="shared" si="295"/>
        <v>0</v>
      </c>
      <c r="N204" s="236">
        <f t="shared" si="296"/>
        <v>0</v>
      </c>
      <c r="O204" s="236">
        <f t="shared" si="297"/>
        <v>0</v>
      </c>
      <c r="P204" s="236">
        <f t="shared" si="298"/>
        <v>0</v>
      </c>
    </row>
    <row r="205" spans="1:16" ht="12.75" customHeight="1" x14ac:dyDescent="0.25">
      <c r="A205" s="41"/>
      <c r="B205" s="316">
        <f t="shared" ref="B205:C205" si="307">B296</f>
        <v>0</v>
      </c>
      <c r="C205" s="316">
        <f t="shared" si="307"/>
        <v>0</v>
      </c>
      <c r="D205" s="223"/>
      <c r="E205" s="623">
        <v>0</v>
      </c>
      <c r="F205" s="616">
        <f t="shared" si="290"/>
        <v>0</v>
      </c>
      <c r="G205" s="617">
        <f t="shared" ref="G205:I205" si="308">F205</f>
        <v>0</v>
      </c>
      <c r="H205" s="616">
        <f t="shared" si="308"/>
        <v>0</v>
      </c>
      <c r="I205" s="616">
        <f t="shared" si="308"/>
        <v>0</v>
      </c>
      <c r="J205" s="616">
        <f t="shared" si="292"/>
        <v>0</v>
      </c>
      <c r="K205" s="616">
        <f t="shared" si="293"/>
        <v>0</v>
      </c>
      <c r="L205" s="616">
        <f t="shared" si="294"/>
        <v>0</v>
      </c>
      <c r="M205" s="616">
        <f t="shared" si="295"/>
        <v>0</v>
      </c>
      <c r="N205" s="616">
        <f t="shared" si="296"/>
        <v>0</v>
      </c>
      <c r="O205" s="616">
        <f t="shared" si="297"/>
        <v>0</v>
      </c>
      <c r="P205" s="616">
        <f t="shared" si="298"/>
        <v>0</v>
      </c>
    </row>
    <row r="206" spans="1:16" ht="12.75" customHeight="1" x14ac:dyDescent="0.25">
      <c r="A206" s="41"/>
      <c r="B206" s="315"/>
      <c r="C206" s="315" t="s">
        <v>219</v>
      </c>
      <c r="D206" s="41"/>
      <c r="E206" s="234">
        <f>SUM(E200:E205)</f>
        <v>1</v>
      </c>
      <c r="F206" s="234">
        <f t="shared" ref="F206" si="309">SUM(F200:F205)</f>
        <v>1</v>
      </c>
      <c r="G206" s="237">
        <f t="shared" ref="G206" si="310">SUM(G200:G205)</f>
        <v>1</v>
      </c>
      <c r="H206" s="236">
        <f t="shared" ref="H206" si="311">SUM(H200:H205)</f>
        <v>1</v>
      </c>
      <c r="I206" s="236">
        <f t="shared" ref="I206:P206" si="312">SUM(I200:I205)</f>
        <v>1</v>
      </c>
      <c r="J206" s="236">
        <f t="shared" si="312"/>
        <v>1</v>
      </c>
      <c r="K206" s="236">
        <f t="shared" si="312"/>
        <v>1</v>
      </c>
      <c r="L206" s="236">
        <f t="shared" si="312"/>
        <v>1</v>
      </c>
      <c r="M206" s="236">
        <f t="shared" si="312"/>
        <v>1</v>
      </c>
      <c r="N206" s="236">
        <f t="shared" si="312"/>
        <v>1</v>
      </c>
      <c r="O206" s="236">
        <f t="shared" si="312"/>
        <v>1</v>
      </c>
      <c r="P206" s="236">
        <f t="shared" si="312"/>
        <v>1</v>
      </c>
    </row>
    <row r="207" spans="1:16" ht="12.75" customHeight="1" x14ac:dyDescent="0.25">
      <c r="B207" s="320"/>
      <c r="C207" s="320"/>
      <c r="D207" s="217"/>
      <c r="E207" s="236"/>
      <c r="F207" s="236"/>
      <c r="G207" s="237"/>
      <c r="H207" s="236"/>
      <c r="I207" s="236"/>
      <c r="J207" s="236"/>
      <c r="K207" s="236"/>
      <c r="L207" s="236"/>
      <c r="M207" s="236"/>
      <c r="N207" s="236"/>
      <c r="O207" s="236"/>
      <c r="P207" s="236"/>
    </row>
    <row r="208" spans="1:16" ht="12.75" customHeight="1" x14ac:dyDescent="0.25">
      <c r="A208" s="72" t="s">
        <v>103</v>
      </c>
      <c r="B208" s="123"/>
      <c r="C208" s="123"/>
      <c r="E208" s="236"/>
      <c r="F208" s="236"/>
      <c r="G208" s="237"/>
      <c r="H208" s="236"/>
      <c r="I208" s="236"/>
      <c r="J208" s="236"/>
      <c r="K208" s="236"/>
      <c r="L208" s="236"/>
      <c r="M208" s="236"/>
      <c r="N208" s="236"/>
      <c r="O208" s="236"/>
      <c r="P208" s="236"/>
    </row>
    <row r="209" spans="1:16" ht="12.75" customHeight="1" x14ac:dyDescent="0.25">
      <c r="B209" s="336" t="s">
        <v>86</v>
      </c>
      <c r="C209" s="123"/>
      <c r="E209" s="236"/>
      <c r="F209" s="236"/>
      <c r="G209" s="237"/>
      <c r="H209" s="236"/>
      <c r="I209" s="236"/>
      <c r="J209" s="236"/>
      <c r="K209" s="236"/>
      <c r="L209" s="236"/>
      <c r="M209" s="236"/>
      <c r="N209" s="236"/>
      <c r="O209" s="236"/>
      <c r="P209" s="236"/>
    </row>
    <row r="210" spans="1:16" ht="12.75" customHeight="1" x14ac:dyDescent="0.25">
      <c r="B210" s="321">
        <f>B303</f>
        <v>0</v>
      </c>
      <c r="C210" s="321">
        <f>C303</f>
        <v>99999999</v>
      </c>
      <c r="D210" s="22"/>
      <c r="E210" s="623">
        <v>1</v>
      </c>
      <c r="F210" s="616">
        <f t="shared" ref="F210:I210" si="313">E210</f>
        <v>1</v>
      </c>
      <c r="G210" s="617">
        <f t="shared" si="313"/>
        <v>1</v>
      </c>
      <c r="H210" s="616">
        <f t="shared" si="313"/>
        <v>1</v>
      </c>
      <c r="I210" s="616">
        <f t="shared" si="313"/>
        <v>1</v>
      </c>
      <c r="J210" s="616">
        <f t="shared" ref="J210:P210" si="314">I210</f>
        <v>1</v>
      </c>
      <c r="K210" s="616">
        <f t="shared" si="314"/>
        <v>1</v>
      </c>
      <c r="L210" s="616">
        <f t="shared" si="314"/>
        <v>1</v>
      </c>
      <c r="M210" s="616">
        <f t="shared" si="314"/>
        <v>1</v>
      </c>
      <c r="N210" s="616">
        <f t="shared" si="314"/>
        <v>1</v>
      </c>
      <c r="O210" s="616">
        <f t="shared" si="314"/>
        <v>1</v>
      </c>
      <c r="P210" s="616">
        <f t="shared" si="314"/>
        <v>1</v>
      </c>
    </row>
    <row r="211" spans="1:16" ht="12.75" customHeight="1" x14ac:dyDescent="0.25">
      <c r="B211" s="29"/>
      <c r="E211" s="236"/>
      <c r="F211" s="236"/>
      <c r="G211" s="237"/>
      <c r="H211" s="236"/>
      <c r="I211" s="236"/>
      <c r="J211" s="236"/>
      <c r="K211" s="236"/>
      <c r="L211" s="236"/>
      <c r="M211" s="236"/>
      <c r="N211" s="236"/>
      <c r="O211" s="236"/>
      <c r="P211" s="236"/>
    </row>
    <row r="212" spans="1:16" ht="12.75" customHeight="1" thickBot="1" x14ac:dyDescent="0.3">
      <c r="A212" s="75"/>
      <c r="B212" s="7"/>
      <c r="C212" s="7"/>
      <c r="D212" s="7"/>
      <c r="E212" s="620"/>
      <c r="F212" s="620"/>
      <c r="G212" s="621"/>
      <c r="H212" s="620"/>
      <c r="I212" s="620"/>
      <c r="J212" s="620"/>
      <c r="K212" s="620"/>
      <c r="L212" s="620"/>
      <c r="M212" s="620"/>
      <c r="N212" s="620"/>
      <c r="O212" s="620"/>
      <c r="P212" s="620"/>
    </row>
    <row r="213" spans="1:16" ht="12.75" customHeight="1" x14ac:dyDescent="0.25">
      <c r="A213" s="79"/>
      <c r="B213" s="10"/>
      <c r="C213" s="10"/>
      <c r="D213" s="10"/>
      <c r="E213" s="11"/>
      <c r="F213" s="11"/>
      <c r="G213" s="11"/>
      <c r="H213" s="11"/>
      <c r="I213" s="11"/>
      <c r="J213" s="11"/>
      <c r="K213" s="11"/>
      <c r="L213" s="11"/>
      <c r="M213" s="11"/>
      <c r="N213" s="11"/>
      <c r="O213" s="11"/>
      <c r="P213" s="11"/>
    </row>
    <row r="215" spans="1:16" ht="12.75" customHeight="1" x14ac:dyDescent="0.25">
      <c r="A215" s="29" t="s">
        <v>154</v>
      </c>
      <c r="B215" s="29"/>
      <c r="C215" s="29"/>
      <c r="D215" s="29"/>
    </row>
    <row r="216" spans="1:16" ht="12.75" customHeight="1" x14ac:dyDescent="0.25">
      <c r="A216" s="29" t="s">
        <v>163</v>
      </c>
      <c r="B216" s="29"/>
      <c r="C216" s="29"/>
      <c r="D216" s="29"/>
    </row>
    <row r="217" spans="1:16" ht="12.75" customHeight="1" x14ac:dyDescent="0.25">
      <c r="A217" s="29" t="s">
        <v>55</v>
      </c>
      <c r="B217" s="29"/>
      <c r="C217" s="29"/>
      <c r="D217" s="29"/>
    </row>
    <row r="218" spans="1:16" ht="12.75" customHeight="1" thickBot="1" x14ac:dyDescent="0.3">
      <c r="A218" s="78" t="s">
        <v>428</v>
      </c>
      <c r="B218" s="21"/>
      <c r="C218" s="44"/>
      <c r="D218" s="44"/>
      <c r="E218" s="7"/>
      <c r="F218" s="7"/>
      <c r="G218" s="7"/>
      <c r="H218" s="7"/>
      <c r="I218" s="7"/>
      <c r="J218" s="7"/>
      <c r="K218" s="7"/>
      <c r="L218" s="7"/>
      <c r="M218" s="7"/>
      <c r="N218" s="7"/>
      <c r="O218" s="7"/>
      <c r="P218" s="7"/>
    </row>
    <row r="219" spans="1:16" ht="12.75" customHeight="1" x14ac:dyDescent="0.25">
      <c r="A219" s="646" t="s">
        <v>215</v>
      </c>
      <c r="B219" s="646"/>
      <c r="C219" s="646"/>
      <c r="D219" s="646"/>
      <c r="E219" s="215">
        <f>Sum!E$5</f>
        <v>2023</v>
      </c>
      <c r="F219" s="215">
        <f>Sum!F$5</f>
        <v>2024</v>
      </c>
      <c r="G219" s="216">
        <f>Sum!G$5</f>
        <v>2025</v>
      </c>
      <c r="H219" s="215">
        <f>Sum!H$5</f>
        <v>2026</v>
      </c>
      <c r="I219" s="215">
        <f>Sum!I$5</f>
        <v>2027</v>
      </c>
      <c r="J219" s="215">
        <f>Sum!J$5</f>
        <v>2028</v>
      </c>
      <c r="K219" s="215">
        <f>Sum!K$5</f>
        <v>2029</v>
      </c>
      <c r="L219" s="215">
        <f>Sum!L$5</f>
        <v>2030</v>
      </c>
      <c r="M219" s="215">
        <f>Sum!M$5</f>
        <v>2031</v>
      </c>
      <c r="N219" s="215">
        <f>Sum!N$5</f>
        <v>2032</v>
      </c>
      <c r="O219" s="215">
        <f>Sum!O$5</f>
        <v>2033</v>
      </c>
      <c r="P219" s="215">
        <f>Sum!P$5</f>
        <v>2034</v>
      </c>
    </row>
    <row r="220" spans="1:16" ht="12.75" customHeight="1" x14ac:dyDescent="0.25">
      <c r="A220" s="16"/>
      <c r="B220" s="16"/>
      <c r="C220" s="16"/>
      <c r="D220" s="16"/>
      <c r="E220" s="120"/>
      <c r="F220" s="120"/>
      <c r="G220" s="178"/>
      <c r="H220" s="120"/>
      <c r="I220" s="120"/>
      <c r="J220" s="120"/>
      <c r="K220" s="120"/>
      <c r="L220" s="120"/>
      <c r="M220" s="120"/>
      <c r="N220" s="120"/>
      <c r="O220" s="120"/>
      <c r="P220" s="120"/>
    </row>
    <row r="221" spans="1:16" ht="12.75" customHeight="1" x14ac:dyDescent="0.25">
      <c r="A221" s="77" t="s">
        <v>13</v>
      </c>
      <c r="B221" s="16"/>
      <c r="C221" s="16"/>
      <c r="D221" s="16"/>
      <c r="E221" s="120"/>
      <c r="F221" s="120"/>
      <c r="G221" s="178"/>
      <c r="H221" s="120"/>
      <c r="I221" s="120"/>
      <c r="J221" s="120"/>
      <c r="K221" s="120"/>
      <c r="L221" s="120"/>
      <c r="M221" s="120"/>
      <c r="N221" s="120"/>
      <c r="O221" s="120"/>
      <c r="P221" s="120"/>
    </row>
    <row r="222" spans="1:16" ht="12.75" customHeight="1" x14ac:dyDescent="0.25">
      <c r="A222" s="29" t="s">
        <v>216</v>
      </c>
      <c r="B222" s="29"/>
      <c r="G222" s="151"/>
    </row>
    <row r="223" spans="1:16" ht="12.75" customHeight="1" x14ac:dyDescent="0.25">
      <c r="A223" s="41"/>
      <c r="B223" s="315">
        <f>Sum!B285</f>
        <v>0</v>
      </c>
      <c r="C223" s="315">
        <f>Sum!C285</f>
        <v>3000</v>
      </c>
      <c r="D223" s="41"/>
      <c r="E223" s="45">
        <f>E$70*E134</f>
        <v>185.30004</v>
      </c>
      <c r="F223" s="45">
        <f t="shared" ref="F223:I223" si="315">F$70*F134</f>
        <v>185.30004</v>
      </c>
      <c r="G223" s="158">
        <f t="shared" si="315"/>
        <v>185.30004</v>
      </c>
      <c r="H223" s="45">
        <f t="shared" si="315"/>
        <v>185.30004</v>
      </c>
      <c r="I223" s="45">
        <f t="shared" si="315"/>
        <v>185.30004</v>
      </c>
      <c r="J223" s="45">
        <f t="shared" ref="J223:P223" si="316">J$70*J134</f>
        <v>185.30004</v>
      </c>
      <c r="K223" s="45">
        <f t="shared" si="316"/>
        <v>185.30004</v>
      </c>
      <c r="L223" s="45">
        <f t="shared" si="316"/>
        <v>185.30004</v>
      </c>
      <c r="M223" s="45">
        <f t="shared" si="316"/>
        <v>185.30004</v>
      </c>
      <c r="N223" s="45">
        <f t="shared" si="316"/>
        <v>185.30004</v>
      </c>
      <c r="O223" s="45">
        <f t="shared" si="316"/>
        <v>185.30004</v>
      </c>
      <c r="P223" s="45">
        <f t="shared" si="316"/>
        <v>185.30004</v>
      </c>
    </row>
    <row r="224" spans="1:16" ht="12.75" customHeight="1" x14ac:dyDescent="0.25">
      <c r="A224" s="41"/>
      <c r="B224" s="315">
        <f>Sum!B286</f>
        <v>3001</v>
      </c>
      <c r="C224" s="315">
        <f>Sum!C286</f>
        <v>99999999</v>
      </c>
      <c r="D224" s="41"/>
      <c r="E224" s="45">
        <f t="shared" ref="E224:I224" si="317">E$70*E135</f>
        <v>277.95005999999995</v>
      </c>
      <c r="F224" s="45">
        <f t="shared" si="317"/>
        <v>277.95005999999995</v>
      </c>
      <c r="G224" s="158">
        <f t="shared" si="317"/>
        <v>277.95005999999995</v>
      </c>
      <c r="H224" s="45">
        <f t="shared" si="317"/>
        <v>277.95005999999995</v>
      </c>
      <c r="I224" s="45">
        <f t="shared" si="317"/>
        <v>277.95005999999995</v>
      </c>
      <c r="J224" s="45">
        <f t="shared" ref="J224:P224" si="318">J$70*J135</f>
        <v>277.95005999999995</v>
      </c>
      <c r="K224" s="45">
        <f t="shared" si="318"/>
        <v>277.95005999999995</v>
      </c>
      <c r="L224" s="45">
        <f t="shared" si="318"/>
        <v>277.95005999999995</v>
      </c>
      <c r="M224" s="45">
        <f t="shared" si="318"/>
        <v>277.95005999999995</v>
      </c>
      <c r="N224" s="45">
        <f t="shared" si="318"/>
        <v>277.95005999999995</v>
      </c>
      <c r="O224" s="45">
        <f t="shared" si="318"/>
        <v>277.95005999999995</v>
      </c>
      <c r="P224" s="45">
        <f t="shared" si="318"/>
        <v>277.95005999999995</v>
      </c>
    </row>
    <row r="225" spans="1:16" ht="12.75" customHeight="1" x14ac:dyDescent="0.25">
      <c r="A225" s="41"/>
      <c r="B225" s="315">
        <f>Sum!B287</f>
        <v>0</v>
      </c>
      <c r="C225" s="315">
        <f>Sum!C287</f>
        <v>0</v>
      </c>
      <c r="D225" s="41"/>
      <c r="E225" s="45">
        <f t="shared" ref="E225:I225" si="319">E$70*E136</f>
        <v>0</v>
      </c>
      <c r="F225" s="45">
        <f t="shared" si="319"/>
        <v>0</v>
      </c>
      <c r="G225" s="158">
        <f t="shared" si="319"/>
        <v>0</v>
      </c>
      <c r="H225" s="45">
        <f t="shared" si="319"/>
        <v>0</v>
      </c>
      <c r="I225" s="45">
        <f t="shared" si="319"/>
        <v>0</v>
      </c>
      <c r="J225" s="45">
        <f t="shared" ref="J225:P225" si="320">J$70*J136</f>
        <v>0</v>
      </c>
      <c r="K225" s="45">
        <f t="shared" si="320"/>
        <v>0</v>
      </c>
      <c r="L225" s="45">
        <f t="shared" si="320"/>
        <v>0</v>
      </c>
      <c r="M225" s="45">
        <f t="shared" si="320"/>
        <v>0</v>
      </c>
      <c r="N225" s="45">
        <f t="shared" si="320"/>
        <v>0</v>
      </c>
      <c r="O225" s="45">
        <f t="shared" si="320"/>
        <v>0</v>
      </c>
      <c r="P225" s="45">
        <f t="shared" si="320"/>
        <v>0</v>
      </c>
    </row>
    <row r="226" spans="1:16" ht="12.75" customHeight="1" x14ac:dyDescent="0.25">
      <c r="A226" s="41"/>
      <c r="B226" s="315">
        <f>Sum!B288</f>
        <v>0</v>
      </c>
      <c r="C226" s="315">
        <f>Sum!C288</f>
        <v>0</v>
      </c>
      <c r="D226" s="41"/>
      <c r="E226" s="45">
        <f t="shared" ref="E226:I226" si="321">E$70*E137</f>
        <v>0</v>
      </c>
      <c r="F226" s="45">
        <f t="shared" si="321"/>
        <v>0</v>
      </c>
      <c r="G226" s="158">
        <f t="shared" si="321"/>
        <v>0</v>
      </c>
      <c r="H226" s="45">
        <f t="shared" si="321"/>
        <v>0</v>
      </c>
      <c r="I226" s="45">
        <f t="shared" si="321"/>
        <v>0</v>
      </c>
      <c r="J226" s="45">
        <f t="shared" ref="J226:P226" si="322">J$70*J137</f>
        <v>0</v>
      </c>
      <c r="K226" s="45">
        <f t="shared" si="322"/>
        <v>0</v>
      </c>
      <c r="L226" s="45">
        <f t="shared" si="322"/>
        <v>0</v>
      </c>
      <c r="M226" s="45">
        <f t="shared" si="322"/>
        <v>0</v>
      </c>
      <c r="N226" s="45">
        <f t="shared" si="322"/>
        <v>0</v>
      </c>
      <c r="O226" s="45">
        <f t="shared" si="322"/>
        <v>0</v>
      </c>
      <c r="P226" s="45">
        <f t="shared" si="322"/>
        <v>0</v>
      </c>
    </row>
    <row r="227" spans="1:16" ht="12.75" customHeight="1" x14ac:dyDescent="0.25">
      <c r="A227" s="41"/>
      <c r="B227" s="315">
        <f>Sum!B289</f>
        <v>0</v>
      </c>
      <c r="C227" s="315">
        <f>Sum!C289</f>
        <v>0</v>
      </c>
      <c r="D227" s="41"/>
      <c r="E227" s="45">
        <f t="shared" ref="E227:I227" si="323">E$70*E138</f>
        <v>0</v>
      </c>
      <c r="F227" s="45">
        <f t="shared" si="323"/>
        <v>0</v>
      </c>
      <c r="G227" s="158">
        <f t="shared" si="323"/>
        <v>0</v>
      </c>
      <c r="H227" s="45">
        <f t="shared" si="323"/>
        <v>0</v>
      </c>
      <c r="I227" s="45">
        <f t="shared" si="323"/>
        <v>0</v>
      </c>
      <c r="J227" s="45">
        <f t="shared" ref="J227:P227" si="324">J$70*J138</f>
        <v>0</v>
      </c>
      <c r="K227" s="45">
        <f t="shared" si="324"/>
        <v>0</v>
      </c>
      <c r="L227" s="45">
        <f t="shared" si="324"/>
        <v>0</v>
      </c>
      <c r="M227" s="45">
        <f t="shared" si="324"/>
        <v>0</v>
      </c>
      <c r="N227" s="45">
        <f t="shared" si="324"/>
        <v>0</v>
      </c>
      <c r="O227" s="45">
        <f t="shared" si="324"/>
        <v>0</v>
      </c>
      <c r="P227" s="45">
        <f t="shared" si="324"/>
        <v>0</v>
      </c>
    </row>
    <row r="228" spans="1:16" ht="12.75" customHeight="1" x14ac:dyDescent="0.25">
      <c r="A228" s="41"/>
      <c r="B228" s="315">
        <f>Sum!B290</f>
        <v>0</v>
      </c>
      <c r="C228" s="315">
        <f>Sum!C290</f>
        <v>0</v>
      </c>
      <c r="D228" s="41"/>
      <c r="E228" s="45">
        <f t="shared" ref="E228:I228" si="325">E$70*E139</f>
        <v>0</v>
      </c>
      <c r="F228" s="45">
        <f t="shared" si="325"/>
        <v>0</v>
      </c>
      <c r="G228" s="158">
        <f t="shared" si="325"/>
        <v>0</v>
      </c>
      <c r="H228" s="45">
        <f t="shared" si="325"/>
        <v>0</v>
      </c>
      <c r="I228" s="45">
        <f t="shared" si="325"/>
        <v>0</v>
      </c>
      <c r="J228" s="45">
        <f t="shared" ref="J228:P228" si="326">J$70*J139</f>
        <v>0</v>
      </c>
      <c r="K228" s="45">
        <f t="shared" si="326"/>
        <v>0</v>
      </c>
      <c r="L228" s="45">
        <f t="shared" si="326"/>
        <v>0</v>
      </c>
      <c r="M228" s="45">
        <f t="shared" si="326"/>
        <v>0</v>
      </c>
      <c r="N228" s="45">
        <f t="shared" si="326"/>
        <v>0</v>
      </c>
      <c r="O228" s="45">
        <f t="shared" si="326"/>
        <v>0</v>
      </c>
      <c r="P228" s="45">
        <f t="shared" si="326"/>
        <v>0</v>
      </c>
    </row>
    <row r="229" spans="1:16" ht="12.75" customHeight="1" x14ac:dyDescent="0.25">
      <c r="A229" s="41"/>
      <c r="B229" s="316">
        <f>Sum!B291</f>
        <v>0</v>
      </c>
      <c r="C229" s="316">
        <f>Sum!C291</f>
        <v>0</v>
      </c>
      <c r="D229" s="223"/>
      <c r="E229" s="49">
        <f t="shared" ref="E229:I229" si="327">E$70*E140</f>
        <v>0</v>
      </c>
      <c r="F229" s="49">
        <f t="shared" si="327"/>
        <v>0</v>
      </c>
      <c r="G229" s="189">
        <f t="shared" si="327"/>
        <v>0</v>
      </c>
      <c r="H229" s="49">
        <f t="shared" si="327"/>
        <v>0</v>
      </c>
      <c r="I229" s="49">
        <f t="shared" si="327"/>
        <v>0</v>
      </c>
      <c r="J229" s="49">
        <f t="shared" ref="J229:P229" si="328">J$70*J140</f>
        <v>0</v>
      </c>
      <c r="K229" s="49">
        <f t="shared" si="328"/>
        <v>0</v>
      </c>
      <c r="L229" s="49">
        <f t="shared" si="328"/>
        <v>0</v>
      </c>
      <c r="M229" s="49">
        <f t="shared" si="328"/>
        <v>0</v>
      </c>
      <c r="N229" s="49">
        <f t="shared" si="328"/>
        <v>0</v>
      </c>
      <c r="O229" s="49">
        <f t="shared" si="328"/>
        <v>0</v>
      </c>
      <c r="P229" s="49">
        <f t="shared" si="328"/>
        <v>0</v>
      </c>
    </row>
    <row r="230" spans="1:16" ht="12.75" customHeight="1" x14ac:dyDescent="0.25">
      <c r="A230" s="41"/>
      <c r="B230" s="315"/>
      <c r="C230" s="315" t="s">
        <v>219</v>
      </c>
      <c r="D230" s="41"/>
      <c r="E230" s="243">
        <f t="shared" ref="E230:I230" si="329">SUM(E223:E229)</f>
        <v>463.25009999999997</v>
      </c>
      <c r="F230" s="243">
        <f t="shared" si="329"/>
        <v>463.25009999999997</v>
      </c>
      <c r="G230" s="158">
        <f t="shared" si="329"/>
        <v>463.25009999999997</v>
      </c>
      <c r="H230" s="45">
        <f t="shared" si="329"/>
        <v>463.25009999999997</v>
      </c>
      <c r="I230" s="45">
        <f t="shared" si="329"/>
        <v>463.25009999999997</v>
      </c>
      <c r="J230" s="45">
        <f t="shared" ref="J230:P230" si="330">SUM(J223:J229)</f>
        <v>463.25009999999997</v>
      </c>
      <c r="K230" s="45">
        <f t="shared" si="330"/>
        <v>463.25009999999997</v>
      </c>
      <c r="L230" s="45">
        <f t="shared" si="330"/>
        <v>463.25009999999997</v>
      </c>
      <c r="M230" s="45">
        <f t="shared" si="330"/>
        <v>463.25009999999997</v>
      </c>
      <c r="N230" s="45">
        <f t="shared" si="330"/>
        <v>463.25009999999997</v>
      </c>
      <c r="O230" s="45">
        <f t="shared" si="330"/>
        <v>463.25009999999997</v>
      </c>
      <c r="P230" s="45">
        <f t="shared" si="330"/>
        <v>463.25009999999997</v>
      </c>
    </row>
    <row r="231" spans="1:16" ht="12.75" customHeight="1" x14ac:dyDescent="0.25">
      <c r="A231" s="41"/>
      <c r="B231" s="315"/>
      <c r="C231" s="315"/>
      <c r="D231" s="41"/>
      <c r="E231" s="243"/>
      <c r="F231" s="243"/>
      <c r="G231" s="244"/>
      <c r="H231" s="243"/>
      <c r="I231" s="243"/>
      <c r="J231" s="243"/>
      <c r="K231" s="243"/>
      <c r="L231" s="243"/>
      <c r="M231" s="243"/>
      <c r="N231" s="243"/>
      <c r="O231" s="243"/>
      <c r="P231" s="243"/>
    </row>
    <row r="232" spans="1:16" ht="12.75" customHeight="1" x14ac:dyDescent="0.25">
      <c r="A232" s="29" t="s">
        <v>343</v>
      </c>
      <c r="B232" s="317"/>
      <c r="C232" s="123"/>
      <c r="E232" s="243"/>
      <c r="F232" s="243"/>
      <c r="G232" s="244"/>
      <c r="H232" s="243"/>
      <c r="I232" s="243"/>
      <c r="J232" s="243"/>
      <c r="K232" s="243"/>
      <c r="L232" s="243"/>
      <c r="M232" s="243"/>
      <c r="N232" s="243"/>
      <c r="O232" s="243"/>
      <c r="P232" s="243"/>
    </row>
    <row r="233" spans="1:16" ht="12.75" customHeight="1" x14ac:dyDescent="0.25">
      <c r="A233" s="41"/>
      <c r="B233" s="315">
        <f>Sum!B294</f>
        <v>0</v>
      </c>
      <c r="C233" s="315">
        <f>Sum!C294</f>
        <v>3000</v>
      </c>
      <c r="D233" s="41"/>
      <c r="E233" s="45">
        <f>E$71*E144</f>
        <v>110.88825</v>
      </c>
      <c r="F233" s="45">
        <f t="shared" ref="F233:I233" si="331">F$71*F144</f>
        <v>110.88825</v>
      </c>
      <c r="G233" s="158">
        <f t="shared" si="331"/>
        <v>110.88825</v>
      </c>
      <c r="H233" s="45">
        <f t="shared" si="331"/>
        <v>110.88825</v>
      </c>
      <c r="I233" s="45">
        <f t="shared" si="331"/>
        <v>110.88825</v>
      </c>
      <c r="J233" s="45">
        <f t="shared" ref="J233:P233" si="332">J$71*J144</f>
        <v>110.88825</v>
      </c>
      <c r="K233" s="45">
        <f t="shared" si="332"/>
        <v>110.88825</v>
      </c>
      <c r="L233" s="45">
        <f t="shared" si="332"/>
        <v>110.88825</v>
      </c>
      <c r="M233" s="45">
        <f t="shared" si="332"/>
        <v>110.88825</v>
      </c>
      <c r="N233" s="45">
        <f t="shared" si="332"/>
        <v>110.88825</v>
      </c>
      <c r="O233" s="45">
        <f t="shared" si="332"/>
        <v>110.88825</v>
      </c>
      <c r="P233" s="45">
        <f t="shared" si="332"/>
        <v>110.88825</v>
      </c>
    </row>
    <row r="234" spans="1:16" ht="12.75" customHeight="1" x14ac:dyDescent="0.25">
      <c r="A234" s="41"/>
      <c r="B234" s="315">
        <f>Sum!B295</f>
        <v>3001</v>
      </c>
      <c r="C234" s="315">
        <f>Sum!C295</f>
        <v>99999999</v>
      </c>
      <c r="D234" s="41"/>
      <c r="E234" s="45">
        <f t="shared" ref="E234:I234" si="333">E$71*E145</f>
        <v>332.66475000000003</v>
      </c>
      <c r="F234" s="45">
        <f t="shared" si="333"/>
        <v>332.66475000000003</v>
      </c>
      <c r="G234" s="158">
        <f t="shared" si="333"/>
        <v>332.66475000000003</v>
      </c>
      <c r="H234" s="45">
        <f t="shared" si="333"/>
        <v>332.66475000000003</v>
      </c>
      <c r="I234" s="45">
        <f t="shared" si="333"/>
        <v>332.66475000000003</v>
      </c>
      <c r="J234" s="45">
        <f t="shared" ref="J234:P234" si="334">J$71*J145</f>
        <v>332.66475000000003</v>
      </c>
      <c r="K234" s="45">
        <f t="shared" si="334"/>
        <v>332.66475000000003</v>
      </c>
      <c r="L234" s="45">
        <f t="shared" si="334"/>
        <v>332.66475000000003</v>
      </c>
      <c r="M234" s="45">
        <f t="shared" si="334"/>
        <v>332.66475000000003</v>
      </c>
      <c r="N234" s="45">
        <f t="shared" si="334"/>
        <v>332.66475000000003</v>
      </c>
      <c r="O234" s="45">
        <f t="shared" si="334"/>
        <v>332.66475000000003</v>
      </c>
      <c r="P234" s="45">
        <f t="shared" si="334"/>
        <v>332.66475000000003</v>
      </c>
    </row>
    <row r="235" spans="1:16" ht="12.75" customHeight="1" x14ac:dyDescent="0.25">
      <c r="A235" s="41"/>
      <c r="B235" s="315">
        <f>Sum!B296</f>
        <v>0</v>
      </c>
      <c r="C235" s="315">
        <f>Sum!C296</f>
        <v>0</v>
      </c>
      <c r="D235" s="41"/>
      <c r="E235" s="45">
        <f t="shared" ref="E235:I235" si="335">E$71*E146</f>
        <v>0</v>
      </c>
      <c r="F235" s="45">
        <f t="shared" si="335"/>
        <v>0</v>
      </c>
      <c r="G235" s="158">
        <f t="shared" si="335"/>
        <v>0</v>
      </c>
      <c r="H235" s="45">
        <f t="shared" si="335"/>
        <v>0</v>
      </c>
      <c r="I235" s="45">
        <f t="shared" si="335"/>
        <v>0</v>
      </c>
      <c r="J235" s="45">
        <f t="shared" ref="J235:P235" si="336">J$71*J146</f>
        <v>0</v>
      </c>
      <c r="K235" s="45">
        <f t="shared" si="336"/>
        <v>0</v>
      </c>
      <c r="L235" s="45">
        <f t="shared" si="336"/>
        <v>0</v>
      </c>
      <c r="M235" s="45">
        <f t="shared" si="336"/>
        <v>0</v>
      </c>
      <c r="N235" s="45">
        <f t="shared" si="336"/>
        <v>0</v>
      </c>
      <c r="O235" s="45">
        <f t="shared" si="336"/>
        <v>0</v>
      </c>
      <c r="P235" s="45">
        <f t="shared" si="336"/>
        <v>0</v>
      </c>
    </row>
    <row r="236" spans="1:16" ht="12.75" customHeight="1" x14ac:dyDescent="0.25">
      <c r="A236" s="41"/>
      <c r="B236" s="315">
        <f>Sum!B297</f>
        <v>0</v>
      </c>
      <c r="C236" s="315">
        <f>Sum!C297</f>
        <v>0</v>
      </c>
      <c r="D236" s="41"/>
      <c r="E236" s="45">
        <f t="shared" ref="E236:I236" si="337">E$71*E147</f>
        <v>0</v>
      </c>
      <c r="F236" s="45">
        <f t="shared" si="337"/>
        <v>0</v>
      </c>
      <c r="G236" s="158">
        <f t="shared" si="337"/>
        <v>0</v>
      </c>
      <c r="H236" s="45">
        <f t="shared" si="337"/>
        <v>0</v>
      </c>
      <c r="I236" s="45">
        <f t="shared" si="337"/>
        <v>0</v>
      </c>
      <c r="J236" s="45">
        <f t="shared" ref="J236:P236" si="338">J$71*J147</f>
        <v>0</v>
      </c>
      <c r="K236" s="45">
        <f t="shared" si="338"/>
        <v>0</v>
      </c>
      <c r="L236" s="45">
        <f t="shared" si="338"/>
        <v>0</v>
      </c>
      <c r="M236" s="45">
        <f t="shared" si="338"/>
        <v>0</v>
      </c>
      <c r="N236" s="45">
        <f t="shared" si="338"/>
        <v>0</v>
      </c>
      <c r="O236" s="45">
        <f t="shared" si="338"/>
        <v>0</v>
      </c>
      <c r="P236" s="45">
        <f t="shared" si="338"/>
        <v>0</v>
      </c>
    </row>
    <row r="237" spans="1:16" ht="12.75" customHeight="1" x14ac:dyDescent="0.25">
      <c r="A237" s="41"/>
      <c r="B237" s="315">
        <f>Sum!B298</f>
        <v>0</v>
      </c>
      <c r="C237" s="315">
        <f>Sum!C298</f>
        <v>0</v>
      </c>
      <c r="D237" s="41"/>
      <c r="E237" s="45">
        <f t="shared" ref="E237:I237" si="339">E$71*E148</f>
        <v>0</v>
      </c>
      <c r="F237" s="45">
        <f t="shared" si="339"/>
        <v>0</v>
      </c>
      <c r="G237" s="158">
        <f t="shared" si="339"/>
        <v>0</v>
      </c>
      <c r="H237" s="45">
        <f t="shared" si="339"/>
        <v>0</v>
      </c>
      <c r="I237" s="45">
        <f t="shared" si="339"/>
        <v>0</v>
      </c>
      <c r="J237" s="45">
        <f t="shared" ref="J237:P237" si="340">J$71*J148</f>
        <v>0</v>
      </c>
      <c r="K237" s="45">
        <f t="shared" si="340"/>
        <v>0</v>
      </c>
      <c r="L237" s="45">
        <f t="shared" si="340"/>
        <v>0</v>
      </c>
      <c r="M237" s="45">
        <f t="shared" si="340"/>
        <v>0</v>
      </c>
      <c r="N237" s="45">
        <f t="shared" si="340"/>
        <v>0</v>
      </c>
      <c r="O237" s="45">
        <f t="shared" si="340"/>
        <v>0</v>
      </c>
      <c r="P237" s="45">
        <f t="shared" si="340"/>
        <v>0</v>
      </c>
    </row>
    <row r="238" spans="1:16" ht="12.75" customHeight="1" x14ac:dyDescent="0.25">
      <c r="A238" s="41"/>
      <c r="B238" s="316">
        <f>Sum!B299</f>
        <v>0</v>
      </c>
      <c r="C238" s="316">
        <f>Sum!C299</f>
        <v>0</v>
      </c>
      <c r="D238" s="223"/>
      <c r="E238" s="49">
        <f t="shared" ref="E238:I238" si="341">E$71*E149</f>
        <v>0</v>
      </c>
      <c r="F238" s="49">
        <f t="shared" si="341"/>
        <v>0</v>
      </c>
      <c r="G238" s="189">
        <f t="shared" si="341"/>
        <v>0</v>
      </c>
      <c r="H238" s="49">
        <f t="shared" si="341"/>
        <v>0</v>
      </c>
      <c r="I238" s="49">
        <f t="shared" si="341"/>
        <v>0</v>
      </c>
      <c r="J238" s="49">
        <f t="shared" ref="J238:P238" si="342">J$71*J149</f>
        <v>0</v>
      </c>
      <c r="K238" s="49">
        <f t="shared" si="342"/>
        <v>0</v>
      </c>
      <c r="L238" s="49">
        <f t="shared" si="342"/>
        <v>0</v>
      </c>
      <c r="M238" s="49">
        <f t="shared" si="342"/>
        <v>0</v>
      </c>
      <c r="N238" s="49">
        <f t="shared" si="342"/>
        <v>0</v>
      </c>
      <c r="O238" s="49">
        <f t="shared" si="342"/>
        <v>0</v>
      </c>
      <c r="P238" s="49">
        <f t="shared" si="342"/>
        <v>0</v>
      </c>
    </row>
    <row r="239" spans="1:16" ht="12.75" customHeight="1" x14ac:dyDescent="0.25">
      <c r="A239" s="41"/>
      <c r="B239" s="315"/>
      <c r="C239" s="315" t="s">
        <v>219</v>
      </c>
      <c r="D239" s="41"/>
      <c r="E239" s="243">
        <f t="shared" ref="E239:I239" si="343">SUM(E233:E238)</f>
        <v>443.553</v>
      </c>
      <c r="F239" s="243">
        <f t="shared" si="343"/>
        <v>443.553</v>
      </c>
      <c r="G239" s="158">
        <f t="shared" si="343"/>
        <v>443.553</v>
      </c>
      <c r="H239" s="45">
        <f t="shared" si="343"/>
        <v>443.553</v>
      </c>
      <c r="I239" s="45">
        <f t="shared" si="343"/>
        <v>443.553</v>
      </c>
      <c r="J239" s="45">
        <f t="shared" ref="J239:P239" si="344">SUM(J233:J238)</f>
        <v>443.553</v>
      </c>
      <c r="K239" s="45">
        <f t="shared" si="344"/>
        <v>443.553</v>
      </c>
      <c r="L239" s="45">
        <f t="shared" si="344"/>
        <v>443.553</v>
      </c>
      <c r="M239" s="45">
        <f t="shared" si="344"/>
        <v>443.553</v>
      </c>
      <c r="N239" s="45">
        <f t="shared" si="344"/>
        <v>443.553</v>
      </c>
      <c r="O239" s="45">
        <f t="shared" si="344"/>
        <v>443.553</v>
      </c>
      <c r="P239" s="45">
        <f t="shared" si="344"/>
        <v>443.553</v>
      </c>
    </row>
    <row r="240" spans="1:16" ht="12.75" customHeight="1" x14ac:dyDescent="0.25">
      <c r="A240" s="41"/>
      <c r="B240" s="315"/>
      <c r="C240" s="315"/>
      <c r="D240" s="41"/>
      <c r="E240" s="243"/>
      <c r="F240" s="243"/>
      <c r="G240" s="244"/>
      <c r="H240" s="243"/>
      <c r="I240" s="243"/>
      <c r="J240" s="243"/>
      <c r="K240" s="243"/>
      <c r="L240" s="243"/>
      <c r="M240" s="243"/>
      <c r="N240" s="243"/>
      <c r="O240" s="243"/>
      <c r="P240" s="243"/>
    </row>
    <row r="241" spans="1:16" ht="12.75" customHeight="1" x14ac:dyDescent="0.25">
      <c r="A241" s="29" t="s">
        <v>297</v>
      </c>
      <c r="B241" s="317"/>
      <c r="C241" s="123"/>
      <c r="E241" s="243"/>
      <c r="F241" s="243"/>
      <c r="G241" s="244"/>
      <c r="H241" s="243"/>
      <c r="I241" s="243"/>
      <c r="J241" s="243"/>
      <c r="K241" s="243"/>
      <c r="L241" s="243"/>
      <c r="M241" s="243"/>
      <c r="N241" s="243"/>
      <c r="O241" s="243"/>
      <c r="P241" s="243"/>
    </row>
    <row r="242" spans="1:16" ht="12.75" customHeight="1" x14ac:dyDescent="0.25">
      <c r="A242" s="41"/>
      <c r="B242" s="315">
        <f>Sum!B302</f>
        <v>0</v>
      </c>
      <c r="C242" s="315">
        <f>Sum!C302</f>
        <v>99999999</v>
      </c>
      <c r="D242" s="41"/>
      <c r="E242" s="45">
        <f>E$72*E153</f>
        <v>0</v>
      </c>
      <c r="F242" s="45">
        <f t="shared" ref="F242:I242" si="345">F$72*F153</f>
        <v>0</v>
      </c>
      <c r="G242" s="158">
        <f t="shared" si="345"/>
        <v>0</v>
      </c>
      <c r="H242" s="45">
        <f t="shared" si="345"/>
        <v>0</v>
      </c>
      <c r="I242" s="45">
        <f t="shared" si="345"/>
        <v>0</v>
      </c>
      <c r="J242" s="45">
        <f t="shared" ref="J242:P242" si="346">J$72*J153</f>
        <v>0</v>
      </c>
      <c r="K242" s="45">
        <f t="shared" si="346"/>
        <v>0</v>
      </c>
      <c r="L242" s="45">
        <f t="shared" si="346"/>
        <v>0</v>
      </c>
      <c r="M242" s="45">
        <f t="shared" si="346"/>
        <v>0</v>
      </c>
      <c r="N242" s="45">
        <f t="shared" si="346"/>
        <v>0</v>
      </c>
      <c r="O242" s="45">
        <f t="shared" si="346"/>
        <v>0</v>
      </c>
      <c r="P242" s="45">
        <f t="shared" si="346"/>
        <v>0</v>
      </c>
    </row>
    <row r="243" spans="1:16" ht="12.75" customHeight="1" x14ac:dyDescent="0.25">
      <c r="A243" s="41"/>
      <c r="B243" s="315">
        <f>Sum!B303</f>
        <v>0</v>
      </c>
      <c r="C243" s="315">
        <f>Sum!C303</f>
        <v>0</v>
      </c>
      <c r="D243" s="41"/>
      <c r="E243" s="45">
        <f t="shared" ref="E243:I243" si="347">E$72*E154</f>
        <v>0</v>
      </c>
      <c r="F243" s="45">
        <f t="shared" si="347"/>
        <v>0</v>
      </c>
      <c r="G243" s="158">
        <f t="shared" si="347"/>
        <v>0</v>
      </c>
      <c r="H243" s="45">
        <f t="shared" si="347"/>
        <v>0</v>
      </c>
      <c r="I243" s="45">
        <f t="shared" si="347"/>
        <v>0</v>
      </c>
      <c r="J243" s="45">
        <f t="shared" ref="J243:P243" si="348">J$72*J154</f>
        <v>0</v>
      </c>
      <c r="K243" s="45">
        <f t="shared" si="348"/>
        <v>0</v>
      </c>
      <c r="L243" s="45">
        <f t="shared" si="348"/>
        <v>0</v>
      </c>
      <c r="M243" s="45">
        <f t="shared" si="348"/>
        <v>0</v>
      </c>
      <c r="N243" s="45">
        <f t="shared" si="348"/>
        <v>0</v>
      </c>
      <c r="O243" s="45">
        <f t="shared" si="348"/>
        <v>0</v>
      </c>
      <c r="P243" s="45">
        <f t="shared" si="348"/>
        <v>0</v>
      </c>
    </row>
    <row r="244" spans="1:16" ht="12.75" customHeight="1" x14ac:dyDescent="0.25">
      <c r="A244" s="41"/>
      <c r="B244" s="315">
        <f>Sum!B304</f>
        <v>0</v>
      </c>
      <c r="C244" s="315">
        <f>Sum!C304</f>
        <v>0</v>
      </c>
      <c r="D244" s="41"/>
      <c r="E244" s="45">
        <f t="shared" ref="E244:I244" si="349">E$72*E155</f>
        <v>0</v>
      </c>
      <c r="F244" s="45">
        <f t="shared" si="349"/>
        <v>0</v>
      </c>
      <c r="G244" s="158">
        <f t="shared" si="349"/>
        <v>0</v>
      </c>
      <c r="H244" s="45">
        <f t="shared" si="349"/>
        <v>0</v>
      </c>
      <c r="I244" s="45">
        <f t="shared" si="349"/>
        <v>0</v>
      </c>
      <c r="J244" s="45">
        <f t="shared" ref="J244:P244" si="350">J$72*J155</f>
        <v>0</v>
      </c>
      <c r="K244" s="45">
        <f t="shared" si="350"/>
        <v>0</v>
      </c>
      <c r="L244" s="45">
        <f t="shared" si="350"/>
        <v>0</v>
      </c>
      <c r="M244" s="45">
        <f t="shared" si="350"/>
        <v>0</v>
      </c>
      <c r="N244" s="45">
        <f t="shared" si="350"/>
        <v>0</v>
      </c>
      <c r="O244" s="45">
        <f t="shared" si="350"/>
        <v>0</v>
      </c>
      <c r="P244" s="45">
        <f t="shared" si="350"/>
        <v>0</v>
      </c>
    </row>
    <row r="245" spans="1:16" ht="12.75" customHeight="1" x14ac:dyDescent="0.25">
      <c r="A245" s="41"/>
      <c r="B245" s="315">
        <f>Sum!B305</f>
        <v>0</v>
      </c>
      <c r="C245" s="315">
        <f>Sum!C305</f>
        <v>0</v>
      </c>
      <c r="D245" s="41"/>
      <c r="E245" s="45">
        <f t="shared" ref="E245:I245" si="351">E$72*E156</f>
        <v>0</v>
      </c>
      <c r="F245" s="45">
        <f t="shared" si="351"/>
        <v>0</v>
      </c>
      <c r="G245" s="158">
        <f t="shared" si="351"/>
        <v>0</v>
      </c>
      <c r="H245" s="45">
        <f t="shared" si="351"/>
        <v>0</v>
      </c>
      <c r="I245" s="45">
        <f t="shared" si="351"/>
        <v>0</v>
      </c>
      <c r="J245" s="45">
        <f t="shared" ref="J245:P245" si="352">J$72*J156</f>
        <v>0</v>
      </c>
      <c r="K245" s="45">
        <f t="shared" si="352"/>
        <v>0</v>
      </c>
      <c r="L245" s="45">
        <f t="shared" si="352"/>
        <v>0</v>
      </c>
      <c r="M245" s="45">
        <f t="shared" si="352"/>
        <v>0</v>
      </c>
      <c r="N245" s="45">
        <f t="shared" si="352"/>
        <v>0</v>
      </c>
      <c r="O245" s="45">
        <f t="shared" si="352"/>
        <v>0</v>
      </c>
      <c r="P245" s="45">
        <f t="shared" si="352"/>
        <v>0</v>
      </c>
    </row>
    <row r="246" spans="1:16" ht="12.75" customHeight="1" x14ac:dyDescent="0.25">
      <c r="A246" s="41"/>
      <c r="B246" s="315">
        <f>Sum!B306</f>
        <v>0</v>
      </c>
      <c r="C246" s="315">
        <f>Sum!C306</f>
        <v>0</v>
      </c>
      <c r="D246" s="41"/>
      <c r="E246" s="45">
        <f t="shared" ref="E246:I246" si="353">E$72*E157</f>
        <v>0</v>
      </c>
      <c r="F246" s="45">
        <f t="shared" si="353"/>
        <v>0</v>
      </c>
      <c r="G246" s="158">
        <f t="shared" si="353"/>
        <v>0</v>
      </c>
      <c r="H246" s="45">
        <f t="shared" si="353"/>
        <v>0</v>
      </c>
      <c r="I246" s="45">
        <f t="shared" si="353"/>
        <v>0</v>
      </c>
      <c r="J246" s="45">
        <f t="shared" ref="J246:P246" si="354">J$72*J157</f>
        <v>0</v>
      </c>
      <c r="K246" s="45">
        <f t="shared" si="354"/>
        <v>0</v>
      </c>
      <c r="L246" s="45">
        <f t="shared" si="354"/>
        <v>0</v>
      </c>
      <c r="M246" s="45">
        <f t="shared" si="354"/>
        <v>0</v>
      </c>
      <c r="N246" s="45">
        <f t="shared" si="354"/>
        <v>0</v>
      </c>
      <c r="O246" s="45">
        <f t="shared" si="354"/>
        <v>0</v>
      </c>
      <c r="P246" s="45">
        <f t="shared" si="354"/>
        <v>0</v>
      </c>
    </row>
    <row r="247" spans="1:16" ht="12.75" customHeight="1" x14ac:dyDescent="0.25">
      <c r="A247" s="41"/>
      <c r="B247" s="316">
        <f>Sum!B307</f>
        <v>0</v>
      </c>
      <c r="C247" s="316">
        <f>Sum!C307</f>
        <v>0</v>
      </c>
      <c r="D247" s="223"/>
      <c r="E247" s="49">
        <f t="shared" ref="E247:I247" si="355">E$72*E158</f>
        <v>0</v>
      </c>
      <c r="F247" s="49">
        <f t="shared" si="355"/>
        <v>0</v>
      </c>
      <c r="G247" s="189">
        <f t="shared" si="355"/>
        <v>0</v>
      </c>
      <c r="H247" s="49">
        <f t="shared" si="355"/>
        <v>0</v>
      </c>
      <c r="I247" s="49">
        <f t="shared" si="355"/>
        <v>0</v>
      </c>
      <c r="J247" s="49">
        <f t="shared" ref="J247:P247" si="356">J$72*J158</f>
        <v>0</v>
      </c>
      <c r="K247" s="49">
        <f t="shared" si="356"/>
        <v>0</v>
      </c>
      <c r="L247" s="49">
        <f t="shared" si="356"/>
        <v>0</v>
      </c>
      <c r="M247" s="49">
        <f t="shared" si="356"/>
        <v>0</v>
      </c>
      <c r="N247" s="49">
        <f t="shared" si="356"/>
        <v>0</v>
      </c>
      <c r="O247" s="49">
        <f t="shared" si="356"/>
        <v>0</v>
      </c>
      <c r="P247" s="49">
        <f t="shared" si="356"/>
        <v>0</v>
      </c>
    </row>
    <row r="248" spans="1:16" ht="12.75" customHeight="1" x14ac:dyDescent="0.25">
      <c r="A248" s="41"/>
      <c r="B248" s="315"/>
      <c r="C248" s="315" t="s">
        <v>219</v>
      </c>
      <c r="D248" s="41"/>
      <c r="E248" s="243">
        <f t="shared" ref="E248:I248" si="357">SUM(E242:E247)</f>
        <v>0</v>
      </c>
      <c r="F248" s="243">
        <f t="shared" si="357"/>
        <v>0</v>
      </c>
      <c r="G248" s="158">
        <f t="shared" si="357"/>
        <v>0</v>
      </c>
      <c r="H248" s="45">
        <f t="shared" si="357"/>
        <v>0</v>
      </c>
      <c r="I248" s="45">
        <f t="shared" si="357"/>
        <v>0</v>
      </c>
      <c r="J248" s="45">
        <f t="shared" ref="J248:P248" si="358">SUM(J242:J247)</f>
        <v>0</v>
      </c>
      <c r="K248" s="45">
        <f t="shared" si="358"/>
        <v>0</v>
      </c>
      <c r="L248" s="45">
        <f t="shared" si="358"/>
        <v>0</v>
      </c>
      <c r="M248" s="45">
        <f t="shared" si="358"/>
        <v>0</v>
      </c>
      <c r="N248" s="45">
        <f t="shared" si="358"/>
        <v>0</v>
      </c>
      <c r="O248" s="45">
        <f t="shared" si="358"/>
        <v>0</v>
      </c>
      <c r="P248" s="45">
        <f t="shared" si="358"/>
        <v>0</v>
      </c>
    </row>
    <row r="249" spans="1:16" ht="12.75" customHeight="1" x14ac:dyDescent="0.25">
      <c r="A249" s="41"/>
      <c r="B249" s="315"/>
      <c r="C249" s="315"/>
      <c r="D249" s="41"/>
      <c r="E249" s="243"/>
      <c r="F249" s="243"/>
      <c r="G249" s="244"/>
      <c r="H249" s="243"/>
      <c r="I249" s="243"/>
      <c r="J249" s="243"/>
      <c r="K249" s="243"/>
      <c r="L249" s="243"/>
      <c r="M249" s="243"/>
      <c r="N249" s="243"/>
      <c r="O249" s="243"/>
      <c r="P249" s="243"/>
    </row>
    <row r="250" spans="1:16" ht="12.75" customHeight="1" x14ac:dyDescent="0.25">
      <c r="A250" s="29" t="s">
        <v>297</v>
      </c>
      <c r="B250" s="317"/>
      <c r="C250" s="123"/>
      <c r="E250" s="243"/>
      <c r="F250" s="243"/>
      <c r="G250" s="244"/>
      <c r="H250" s="243"/>
      <c r="I250" s="243"/>
      <c r="J250" s="243"/>
      <c r="K250" s="243"/>
      <c r="L250" s="243"/>
      <c r="M250" s="243"/>
      <c r="N250" s="243"/>
      <c r="O250" s="243"/>
      <c r="P250" s="243"/>
    </row>
    <row r="251" spans="1:16" ht="12.75" customHeight="1" x14ac:dyDescent="0.25">
      <c r="A251" s="41"/>
      <c r="B251" s="315">
        <f>Sum!B310</f>
        <v>0</v>
      </c>
      <c r="C251" s="315">
        <f>Sum!C310</f>
        <v>99999999</v>
      </c>
      <c r="D251" s="41"/>
      <c r="E251" s="45">
        <f>E$73*E162</f>
        <v>0</v>
      </c>
      <c r="F251" s="45">
        <f t="shared" ref="F251:I251" si="359">F$73*F162</f>
        <v>0</v>
      </c>
      <c r="G251" s="158">
        <f t="shared" si="359"/>
        <v>0</v>
      </c>
      <c r="H251" s="45">
        <f t="shared" si="359"/>
        <v>0</v>
      </c>
      <c r="I251" s="45">
        <f t="shared" si="359"/>
        <v>0</v>
      </c>
      <c r="J251" s="45">
        <f t="shared" ref="J251:P251" si="360">J$73*J162</f>
        <v>0</v>
      </c>
      <c r="K251" s="45">
        <f t="shared" si="360"/>
        <v>0</v>
      </c>
      <c r="L251" s="45">
        <f t="shared" si="360"/>
        <v>0</v>
      </c>
      <c r="M251" s="45">
        <f t="shared" si="360"/>
        <v>0</v>
      </c>
      <c r="N251" s="45">
        <f t="shared" si="360"/>
        <v>0</v>
      </c>
      <c r="O251" s="45">
        <f t="shared" si="360"/>
        <v>0</v>
      </c>
      <c r="P251" s="45">
        <f t="shared" si="360"/>
        <v>0</v>
      </c>
    </row>
    <row r="252" spans="1:16" ht="12.75" customHeight="1" x14ac:dyDescent="0.25">
      <c r="A252" s="41"/>
      <c r="B252" s="315">
        <f>Sum!B311</f>
        <v>0</v>
      </c>
      <c r="C252" s="315">
        <f>Sum!C311</f>
        <v>0</v>
      </c>
      <c r="D252" s="41"/>
      <c r="E252" s="45">
        <f t="shared" ref="E252:I252" si="361">E$73*E163</f>
        <v>0</v>
      </c>
      <c r="F252" s="45">
        <f t="shared" si="361"/>
        <v>0</v>
      </c>
      <c r="G252" s="158">
        <f t="shared" si="361"/>
        <v>0</v>
      </c>
      <c r="H252" s="45">
        <f t="shared" si="361"/>
        <v>0</v>
      </c>
      <c r="I252" s="45">
        <f t="shared" si="361"/>
        <v>0</v>
      </c>
      <c r="J252" s="45">
        <f t="shared" ref="J252:P252" si="362">J$73*J163</f>
        <v>0</v>
      </c>
      <c r="K252" s="45">
        <f t="shared" si="362"/>
        <v>0</v>
      </c>
      <c r="L252" s="45">
        <f t="shared" si="362"/>
        <v>0</v>
      </c>
      <c r="M252" s="45">
        <f t="shared" si="362"/>
        <v>0</v>
      </c>
      <c r="N252" s="45">
        <f t="shared" si="362"/>
        <v>0</v>
      </c>
      <c r="O252" s="45">
        <f t="shared" si="362"/>
        <v>0</v>
      </c>
      <c r="P252" s="45">
        <f t="shared" si="362"/>
        <v>0</v>
      </c>
    </row>
    <row r="253" spans="1:16" ht="12.75" customHeight="1" x14ac:dyDescent="0.25">
      <c r="A253" s="41"/>
      <c r="B253" s="315">
        <f>Sum!B312</f>
        <v>0</v>
      </c>
      <c r="C253" s="315">
        <f>Sum!C312</f>
        <v>0</v>
      </c>
      <c r="D253" s="41"/>
      <c r="E253" s="45">
        <f t="shared" ref="E253:I253" si="363">E$73*E164</f>
        <v>0</v>
      </c>
      <c r="F253" s="45">
        <f t="shared" si="363"/>
        <v>0</v>
      </c>
      <c r="G253" s="158">
        <f t="shared" si="363"/>
        <v>0</v>
      </c>
      <c r="H253" s="45">
        <f t="shared" si="363"/>
        <v>0</v>
      </c>
      <c r="I253" s="45">
        <f t="shared" si="363"/>
        <v>0</v>
      </c>
      <c r="J253" s="45">
        <f t="shared" ref="J253:P253" si="364">J$73*J164</f>
        <v>0</v>
      </c>
      <c r="K253" s="45">
        <f t="shared" si="364"/>
        <v>0</v>
      </c>
      <c r="L253" s="45">
        <f t="shared" si="364"/>
        <v>0</v>
      </c>
      <c r="M253" s="45">
        <f t="shared" si="364"/>
        <v>0</v>
      </c>
      <c r="N253" s="45">
        <f t="shared" si="364"/>
        <v>0</v>
      </c>
      <c r="O253" s="45">
        <f t="shared" si="364"/>
        <v>0</v>
      </c>
      <c r="P253" s="45">
        <f t="shared" si="364"/>
        <v>0</v>
      </c>
    </row>
    <row r="254" spans="1:16" ht="12.75" customHeight="1" x14ac:dyDescent="0.25">
      <c r="A254" s="41"/>
      <c r="B254" s="315">
        <f>Sum!B313</f>
        <v>0</v>
      </c>
      <c r="C254" s="315">
        <f>Sum!C313</f>
        <v>0</v>
      </c>
      <c r="D254" s="41"/>
      <c r="E254" s="45">
        <f t="shared" ref="E254:I254" si="365">E$73*E165</f>
        <v>0</v>
      </c>
      <c r="F254" s="45">
        <f t="shared" si="365"/>
        <v>0</v>
      </c>
      <c r="G254" s="158">
        <f t="shared" si="365"/>
        <v>0</v>
      </c>
      <c r="H254" s="45">
        <f t="shared" si="365"/>
        <v>0</v>
      </c>
      <c r="I254" s="45">
        <f t="shared" si="365"/>
        <v>0</v>
      </c>
      <c r="J254" s="45">
        <f t="shared" ref="J254:P254" si="366">J$73*J165</f>
        <v>0</v>
      </c>
      <c r="K254" s="45">
        <f t="shared" si="366"/>
        <v>0</v>
      </c>
      <c r="L254" s="45">
        <f t="shared" si="366"/>
        <v>0</v>
      </c>
      <c r="M254" s="45">
        <f t="shared" si="366"/>
        <v>0</v>
      </c>
      <c r="N254" s="45">
        <f t="shared" si="366"/>
        <v>0</v>
      </c>
      <c r="O254" s="45">
        <f t="shared" si="366"/>
        <v>0</v>
      </c>
      <c r="P254" s="45">
        <f t="shared" si="366"/>
        <v>0</v>
      </c>
    </row>
    <row r="255" spans="1:16" ht="12.75" customHeight="1" x14ac:dyDescent="0.25">
      <c r="A255" s="41"/>
      <c r="B255" s="315">
        <f>Sum!B314</f>
        <v>0</v>
      </c>
      <c r="C255" s="315">
        <f>Sum!C314</f>
        <v>0</v>
      </c>
      <c r="D255" s="41"/>
      <c r="E255" s="45">
        <f t="shared" ref="E255:I255" si="367">E$73*E166</f>
        <v>0</v>
      </c>
      <c r="F255" s="45">
        <f t="shared" si="367"/>
        <v>0</v>
      </c>
      <c r="G255" s="158">
        <f t="shared" si="367"/>
        <v>0</v>
      </c>
      <c r="H255" s="45">
        <f t="shared" si="367"/>
        <v>0</v>
      </c>
      <c r="I255" s="45">
        <f t="shared" si="367"/>
        <v>0</v>
      </c>
      <c r="J255" s="45">
        <f t="shared" ref="J255:P255" si="368">J$73*J166</f>
        <v>0</v>
      </c>
      <c r="K255" s="45">
        <f t="shared" si="368"/>
        <v>0</v>
      </c>
      <c r="L255" s="45">
        <f t="shared" si="368"/>
        <v>0</v>
      </c>
      <c r="M255" s="45">
        <f t="shared" si="368"/>
        <v>0</v>
      </c>
      <c r="N255" s="45">
        <f t="shared" si="368"/>
        <v>0</v>
      </c>
      <c r="O255" s="45">
        <f t="shared" si="368"/>
        <v>0</v>
      </c>
      <c r="P255" s="45">
        <f t="shared" si="368"/>
        <v>0</v>
      </c>
    </row>
    <row r="256" spans="1:16" ht="12.75" customHeight="1" x14ac:dyDescent="0.25">
      <c r="A256" s="41"/>
      <c r="B256" s="316">
        <f>Sum!B315</f>
        <v>0</v>
      </c>
      <c r="C256" s="316">
        <f>Sum!C315</f>
        <v>0</v>
      </c>
      <c r="D256" s="223"/>
      <c r="E256" s="49">
        <f t="shared" ref="E256:I256" si="369">E$73*E167</f>
        <v>0</v>
      </c>
      <c r="F256" s="49">
        <f t="shared" si="369"/>
        <v>0</v>
      </c>
      <c r="G256" s="189">
        <f t="shared" si="369"/>
        <v>0</v>
      </c>
      <c r="H256" s="49">
        <f t="shared" si="369"/>
        <v>0</v>
      </c>
      <c r="I256" s="49">
        <f t="shared" si="369"/>
        <v>0</v>
      </c>
      <c r="J256" s="49">
        <f t="shared" ref="J256:P256" si="370">J$73*J167</f>
        <v>0</v>
      </c>
      <c r="K256" s="49">
        <f t="shared" si="370"/>
        <v>0</v>
      </c>
      <c r="L256" s="49">
        <f t="shared" si="370"/>
        <v>0</v>
      </c>
      <c r="M256" s="49">
        <f t="shared" si="370"/>
        <v>0</v>
      </c>
      <c r="N256" s="49">
        <f t="shared" si="370"/>
        <v>0</v>
      </c>
      <c r="O256" s="49">
        <f t="shared" si="370"/>
        <v>0</v>
      </c>
      <c r="P256" s="49">
        <f t="shared" si="370"/>
        <v>0</v>
      </c>
    </row>
    <row r="257" spans="1:16" ht="12.75" customHeight="1" x14ac:dyDescent="0.25">
      <c r="A257" s="41"/>
      <c r="B257" s="315"/>
      <c r="C257" s="315" t="s">
        <v>219</v>
      </c>
      <c r="D257" s="41"/>
      <c r="E257" s="243">
        <f t="shared" ref="E257:I257" si="371">SUM(E251:E256)</f>
        <v>0</v>
      </c>
      <c r="F257" s="243">
        <f t="shared" si="371"/>
        <v>0</v>
      </c>
      <c r="G257" s="158">
        <f t="shared" si="371"/>
        <v>0</v>
      </c>
      <c r="H257" s="45">
        <f t="shared" si="371"/>
        <v>0</v>
      </c>
      <c r="I257" s="45">
        <f t="shared" si="371"/>
        <v>0</v>
      </c>
      <c r="J257" s="45">
        <f t="shared" ref="J257:P257" si="372">SUM(J251:J256)</f>
        <v>0</v>
      </c>
      <c r="K257" s="45">
        <f t="shared" si="372"/>
        <v>0</v>
      </c>
      <c r="L257" s="45">
        <f t="shared" si="372"/>
        <v>0</v>
      </c>
      <c r="M257" s="45">
        <f t="shared" si="372"/>
        <v>0</v>
      </c>
      <c r="N257" s="45">
        <f t="shared" si="372"/>
        <v>0</v>
      </c>
      <c r="O257" s="45">
        <f t="shared" si="372"/>
        <v>0</v>
      </c>
      <c r="P257" s="45">
        <f t="shared" si="372"/>
        <v>0</v>
      </c>
    </row>
    <row r="258" spans="1:16" ht="12.75" customHeight="1" thickBot="1" x14ac:dyDescent="0.3">
      <c r="B258" s="318"/>
      <c r="C258" s="318"/>
      <c r="D258" s="56"/>
      <c r="E258" s="221"/>
      <c r="F258" s="221"/>
      <c r="G258" s="222"/>
      <c r="H258" s="221"/>
      <c r="I258" s="221"/>
      <c r="J258" s="221"/>
      <c r="K258" s="221"/>
      <c r="L258" s="221"/>
      <c r="M258" s="221"/>
      <c r="N258" s="221"/>
      <c r="O258" s="221"/>
      <c r="P258" s="221"/>
    </row>
    <row r="259" spans="1:16" ht="12.75" customHeight="1" thickTop="1" x14ac:dyDescent="0.25">
      <c r="A259" s="351"/>
      <c r="B259" s="314" t="s">
        <v>6</v>
      </c>
      <c r="C259" s="319"/>
      <c r="D259" s="217"/>
      <c r="E259" s="45">
        <f t="shared" ref="E259:I259" si="373">E230+E239+E248+E257</f>
        <v>906.80309999999997</v>
      </c>
      <c r="F259" s="45">
        <f t="shared" si="373"/>
        <v>906.80309999999997</v>
      </c>
      <c r="G259" s="158">
        <f t="shared" si="373"/>
        <v>906.80309999999997</v>
      </c>
      <c r="H259" s="45">
        <f t="shared" si="373"/>
        <v>906.80309999999997</v>
      </c>
      <c r="I259" s="45">
        <f t="shared" si="373"/>
        <v>906.80309999999997</v>
      </c>
      <c r="J259" s="45">
        <f t="shared" ref="J259:P259" si="374">J230+J239+J248+J257</f>
        <v>906.80309999999997</v>
      </c>
      <c r="K259" s="45">
        <f t="shared" si="374"/>
        <v>906.80309999999997</v>
      </c>
      <c r="L259" s="45">
        <f t="shared" si="374"/>
        <v>906.80309999999997</v>
      </c>
      <c r="M259" s="45">
        <f t="shared" si="374"/>
        <v>906.80309999999997</v>
      </c>
      <c r="N259" s="45">
        <f t="shared" si="374"/>
        <v>906.80309999999997</v>
      </c>
      <c r="O259" s="45">
        <f t="shared" si="374"/>
        <v>906.80309999999997</v>
      </c>
      <c r="P259" s="45">
        <f t="shared" si="374"/>
        <v>906.80309999999997</v>
      </c>
    </row>
    <row r="260" spans="1:16" ht="12.75" customHeight="1" x14ac:dyDescent="0.25">
      <c r="A260" s="41"/>
      <c r="B260" s="315"/>
      <c r="C260" s="315"/>
      <c r="D260" s="41"/>
      <c r="E260" s="243"/>
      <c r="F260" s="243"/>
      <c r="G260" s="158"/>
      <c r="H260" s="45"/>
      <c r="I260" s="45"/>
      <c r="J260" s="45"/>
      <c r="K260" s="45"/>
      <c r="L260" s="45"/>
      <c r="M260" s="45"/>
      <c r="N260" s="45"/>
      <c r="O260" s="45"/>
      <c r="P260" s="45"/>
    </row>
    <row r="261" spans="1:16" ht="12.75" customHeight="1" x14ac:dyDescent="0.25">
      <c r="A261" s="77" t="s">
        <v>261</v>
      </c>
      <c r="B261" s="123"/>
      <c r="C261" s="123"/>
      <c r="D261" s="16"/>
      <c r="E261" s="120"/>
      <c r="F261" s="120"/>
      <c r="G261" s="178"/>
      <c r="H261" s="120"/>
      <c r="I261" s="120"/>
      <c r="J261" s="120"/>
      <c r="K261" s="120"/>
      <c r="L261" s="120"/>
      <c r="M261" s="120"/>
      <c r="N261" s="120"/>
      <c r="O261" s="120"/>
      <c r="P261" s="120"/>
    </row>
    <row r="262" spans="1:16" ht="12.75" customHeight="1" x14ac:dyDescent="0.25">
      <c r="A262" s="29" t="s">
        <v>216</v>
      </c>
      <c r="B262" s="317"/>
      <c r="C262" s="123"/>
      <c r="G262" s="151"/>
    </row>
    <row r="263" spans="1:16" ht="12.75" customHeight="1" x14ac:dyDescent="0.25">
      <c r="A263" s="41"/>
      <c r="B263" s="315">
        <f>Sum!B319</f>
        <v>0</v>
      </c>
      <c r="C263" s="315">
        <f>Sum!C319</f>
        <v>3000</v>
      </c>
      <c r="D263" s="41"/>
      <c r="E263" s="45">
        <f>E$76*E172</f>
        <v>8.0784000000000002</v>
      </c>
      <c r="F263" s="45">
        <f t="shared" ref="F263:I263" si="375">F$76*F172</f>
        <v>8.0784000000000002</v>
      </c>
      <c r="G263" s="158">
        <f t="shared" si="375"/>
        <v>8.0784000000000002</v>
      </c>
      <c r="H263" s="45">
        <f t="shared" si="375"/>
        <v>8.0784000000000002</v>
      </c>
      <c r="I263" s="45">
        <f t="shared" si="375"/>
        <v>8.0784000000000002</v>
      </c>
      <c r="J263" s="45">
        <f t="shared" ref="J263:P263" si="376">J$76*J172</f>
        <v>8.0784000000000002</v>
      </c>
      <c r="K263" s="45">
        <f t="shared" si="376"/>
        <v>8.0784000000000002</v>
      </c>
      <c r="L263" s="45">
        <f t="shared" si="376"/>
        <v>8.0784000000000002</v>
      </c>
      <c r="M263" s="45">
        <f t="shared" si="376"/>
        <v>8.0784000000000002</v>
      </c>
      <c r="N263" s="45">
        <f t="shared" si="376"/>
        <v>8.0784000000000002</v>
      </c>
      <c r="O263" s="45">
        <f t="shared" si="376"/>
        <v>8.0784000000000002</v>
      </c>
      <c r="P263" s="45">
        <f t="shared" si="376"/>
        <v>8.0784000000000002</v>
      </c>
    </row>
    <row r="264" spans="1:16" ht="12.75" customHeight="1" x14ac:dyDescent="0.25">
      <c r="A264" s="41"/>
      <c r="B264" s="315">
        <f>Sum!B320</f>
        <v>0</v>
      </c>
      <c r="C264" s="315">
        <f>Sum!C320</f>
        <v>0</v>
      </c>
      <c r="D264" s="41"/>
      <c r="E264" s="45">
        <f t="shared" ref="E264:I264" si="377">E$76*E173</f>
        <v>12.117600000000001</v>
      </c>
      <c r="F264" s="45">
        <f t="shared" si="377"/>
        <v>12.117600000000001</v>
      </c>
      <c r="G264" s="158">
        <f t="shared" si="377"/>
        <v>12.117600000000001</v>
      </c>
      <c r="H264" s="45">
        <f t="shared" si="377"/>
        <v>12.117600000000001</v>
      </c>
      <c r="I264" s="45">
        <f t="shared" si="377"/>
        <v>12.117600000000001</v>
      </c>
      <c r="J264" s="45">
        <f t="shared" ref="J264:P264" si="378">J$76*J173</f>
        <v>12.117600000000001</v>
      </c>
      <c r="K264" s="45">
        <f t="shared" si="378"/>
        <v>12.117600000000001</v>
      </c>
      <c r="L264" s="45">
        <f t="shared" si="378"/>
        <v>12.117600000000001</v>
      </c>
      <c r="M264" s="45">
        <f t="shared" si="378"/>
        <v>12.117600000000001</v>
      </c>
      <c r="N264" s="45">
        <f t="shared" si="378"/>
        <v>12.117600000000001</v>
      </c>
      <c r="O264" s="45">
        <f t="shared" si="378"/>
        <v>12.117600000000001</v>
      </c>
      <c r="P264" s="45">
        <f t="shared" si="378"/>
        <v>12.117600000000001</v>
      </c>
    </row>
    <row r="265" spans="1:16" ht="12.75" customHeight="1" x14ac:dyDescent="0.25">
      <c r="A265" s="41"/>
      <c r="B265" s="315">
        <f>Sum!B321</f>
        <v>0</v>
      </c>
      <c r="C265" s="315">
        <f>Sum!C321</f>
        <v>0</v>
      </c>
      <c r="D265" s="41"/>
      <c r="E265" s="45">
        <f t="shared" ref="E265:I265" si="379">E$76*E174</f>
        <v>0</v>
      </c>
      <c r="F265" s="45">
        <f t="shared" si="379"/>
        <v>0</v>
      </c>
      <c r="G265" s="158">
        <f t="shared" si="379"/>
        <v>0</v>
      </c>
      <c r="H265" s="45">
        <f t="shared" si="379"/>
        <v>0</v>
      </c>
      <c r="I265" s="45">
        <f t="shared" si="379"/>
        <v>0</v>
      </c>
      <c r="J265" s="45">
        <f t="shared" ref="J265:P265" si="380">J$76*J174</f>
        <v>0</v>
      </c>
      <c r="K265" s="45">
        <f t="shared" si="380"/>
        <v>0</v>
      </c>
      <c r="L265" s="45">
        <f t="shared" si="380"/>
        <v>0</v>
      </c>
      <c r="M265" s="45">
        <f t="shared" si="380"/>
        <v>0</v>
      </c>
      <c r="N265" s="45">
        <f t="shared" si="380"/>
        <v>0</v>
      </c>
      <c r="O265" s="45">
        <f t="shared" si="380"/>
        <v>0</v>
      </c>
      <c r="P265" s="45">
        <f t="shared" si="380"/>
        <v>0</v>
      </c>
    </row>
    <row r="266" spans="1:16" ht="12.75" customHeight="1" x14ac:dyDescent="0.25">
      <c r="A266" s="41"/>
      <c r="B266" s="315">
        <f>Sum!B322</f>
        <v>0</v>
      </c>
      <c r="C266" s="315">
        <f>Sum!C322</f>
        <v>0</v>
      </c>
      <c r="D266" s="41"/>
      <c r="E266" s="45">
        <f t="shared" ref="E266:I266" si="381">E$76*E175</f>
        <v>0</v>
      </c>
      <c r="F266" s="45">
        <f t="shared" si="381"/>
        <v>0</v>
      </c>
      <c r="G266" s="158">
        <f t="shared" si="381"/>
        <v>0</v>
      </c>
      <c r="H266" s="45">
        <f t="shared" si="381"/>
        <v>0</v>
      </c>
      <c r="I266" s="45">
        <f t="shared" si="381"/>
        <v>0</v>
      </c>
      <c r="J266" s="45">
        <f t="shared" ref="J266:P266" si="382">J$76*J175</f>
        <v>0</v>
      </c>
      <c r="K266" s="45">
        <f t="shared" si="382"/>
        <v>0</v>
      </c>
      <c r="L266" s="45">
        <f t="shared" si="382"/>
        <v>0</v>
      </c>
      <c r="M266" s="45">
        <f t="shared" si="382"/>
        <v>0</v>
      </c>
      <c r="N266" s="45">
        <f t="shared" si="382"/>
        <v>0</v>
      </c>
      <c r="O266" s="45">
        <f t="shared" si="382"/>
        <v>0</v>
      </c>
      <c r="P266" s="45">
        <f t="shared" si="382"/>
        <v>0</v>
      </c>
    </row>
    <row r="267" spans="1:16" ht="12.75" customHeight="1" x14ac:dyDescent="0.25">
      <c r="A267" s="41"/>
      <c r="B267" s="315">
        <f>Sum!B323</f>
        <v>0</v>
      </c>
      <c r="C267" s="315">
        <f>Sum!C323</f>
        <v>0</v>
      </c>
      <c r="D267" s="41"/>
      <c r="E267" s="45">
        <f t="shared" ref="E267:I267" si="383">E$76*E176</f>
        <v>0</v>
      </c>
      <c r="F267" s="45">
        <f t="shared" si="383"/>
        <v>0</v>
      </c>
      <c r="G267" s="158">
        <f t="shared" si="383"/>
        <v>0</v>
      </c>
      <c r="H267" s="45">
        <f t="shared" si="383"/>
        <v>0</v>
      </c>
      <c r="I267" s="45">
        <f t="shared" si="383"/>
        <v>0</v>
      </c>
      <c r="J267" s="45">
        <f t="shared" ref="J267:P267" si="384">J$76*J176</f>
        <v>0</v>
      </c>
      <c r="K267" s="45">
        <f t="shared" si="384"/>
        <v>0</v>
      </c>
      <c r="L267" s="45">
        <f t="shared" si="384"/>
        <v>0</v>
      </c>
      <c r="M267" s="45">
        <f t="shared" si="384"/>
        <v>0</v>
      </c>
      <c r="N267" s="45">
        <f t="shared" si="384"/>
        <v>0</v>
      </c>
      <c r="O267" s="45">
        <f t="shared" si="384"/>
        <v>0</v>
      </c>
      <c r="P267" s="45">
        <f t="shared" si="384"/>
        <v>0</v>
      </c>
    </row>
    <row r="268" spans="1:16" ht="12.75" customHeight="1" x14ac:dyDescent="0.25">
      <c r="A268" s="41"/>
      <c r="B268" s="315">
        <f>Sum!B324</f>
        <v>0</v>
      </c>
      <c r="C268" s="315">
        <f>Sum!C324</f>
        <v>0</v>
      </c>
      <c r="D268" s="41"/>
      <c r="E268" s="45">
        <f t="shared" ref="E268:I268" si="385">E$76*E177</f>
        <v>0</v>
      </c>
      <c r="F268" s="45">
        <f t="shared" si="385"/>
        <v>0</v>
      </c>
      <c r="G268" s="158">
        <f t="shared" si="385"/>
        <v>0</v>
      </c>
      <c r="H268" s="45">
        <f t="shared" si="385"/>
        <v>0</v>
      </c>
      <c r="I268" s="45">
        <f t="shared" si="385"/>
        <v>0</v>
      </c>
      <c r="J268" s="45">
        <f t="shared" ref="J268:P268" si="386">J$76*J177</f>
        <v>0</v>
      </c>
      <c r="K268" s="45">
        <f t="shared" si="386"/>
        <v>0</v>
      </c>
      <c r="L268" s="45">
        <f t="shared" si="386"/>
        <v>0</v>
      </c>
      <c r="M268" s="45">
        <f t="shared" si="386"/>
        <v>0</v>
      </c>
      <c r="N268" s="45">
        <f t="shared" si="386"/>
        <v>0</v>
      </c>
      <c r="O268" s="45">
        <f t="shared" si="386"/>
        <v>0</v>
      </c>
      <c r="P268" s="45">
        <f t="shared" si="386"/>
        <v>0</v>
      </c>
    </row>
    <row r="269" spans="1:16" ht="12.75" customHeight="1" x14ac:dyDescent="0.25">
      <c r="A269" s="41"/>
      <c r="B269" s="316">
        <f>Sum!B325</f>
        <v>0</v>
      </c>
      <c r="C269" s="316">
        <f>Sum!C325</f>
        <v>0</v>
      </c>
      <c r="D269" s="223"/>
      <c r="E269" s="49">
        <f t="shared" ref="E269:I269" si="387">E$76*E178</f>
        <v>0</v>
      </c>
      <c r="F269" s="49">
        <f t="shared" si="387"/>
        <v>0</v>
      </c>
      <c r="G269" s="189">
        <f t="shared" si="387"/>
        <v>0</v>
      </c>
      <c r="H269" s="49">
        <f t="shared" si="387"/>
        <v>0</v>
      </c>
      <c r="I269" s="49">
        <f t="shared" si="387"/>
        <v>0</v>
      </c>
      <c r="J269" s="49">
        <f t="shared" ref="J269:P269" si="388">J$76*J178</f>
        <v>0</v>
      </c>
      <c r="K269" s="49">
        <f t="shared" si="388"/>
        <v>0</v>
      </c>
      <c r="L269" s="49">
        <f t="shared" si="388"/>
        <v>0</v>
      </c>
      <c r="M269" s="49">
        <f t="shared" si="388"/>
        <v>0</v>
      </c>
      <c r="N269" s="49">
        <f t="shared" si="388"/>
        <v>0</v>
      </c>
      <c r="O269" s="49">
        <f t="shared" si="388"/>
        <v>0</v>
      </c>
      <c r="P269" s="49">
        <f t="shared" si="388"/>
        <v>0</v>
      </c>
    </row>
    <row r="270" spans="1:16" ht="12.75" customHeight="1" x14ac:dyDescent="0.25">
      <c r="A270" s="41"/>
      <c r="B270" s="315"/>
      <c r="C270" s="315" t="s">
        <v>219</v>
      </c>
      <c r="D270" s="41"/>
      <c r="E270" s="243">
        <f t="shared" ref="E270:I270" si="389">SUM(E263:E269)</f>
        <v>20.196000000000002</v>
      </c>
      <c r="F270" s="243">
        <f t="shared" si="389"/>
        <v>20.196000000000002</v>
      </c>
      <c r="G270" s="158">
        <f t="shared" si="389"/>
        <v>20.196000000000002</v>
      </c>
      <c r="H270" s="45">
        <f t="shared" si="389"/>
        <v>20.196000000000002</v>
      </c>
      <c r="I270" s="45">
        <f t="shared" si="389"/>
        <v>20.196000000000002</v>
      </c>
      <c r="J270" s="45">
        <f t="shared" ref="J270:P270" si="390">SUM(J263:J269)</f>
        <v>20.196000000000002</v>
      </c>
      <c r="K270" s="45">
        <f t="shared" si="390"/>
        <v>20.196000000000002</v>
      </c>
      <c r="L270" s="45">
        <f t="shared" si="390"/>
        <v>20.196000000000002</v>
      </c>
      <c r="M270" s="45">
        <f t="shared" si="390"/>
        <v>20.196000000000002</v>
      </c>
      <c r="N270" s="45">
        <f t="shared" si="390"/>
        <v>20.196000000000002</v>
      </c>
      <c r="O270" s="45">
        <f t="shared" si="390"/>
        <v>20.196000000000002</v>
      </c>
      <c r="P270" s="45">
        <f t="shared" si="390"/>
        <v>20.196000000000002</v>
      </c>
    </row>
    <row r="271" spans="1:16" ht="12.75" customHeight="1" x14ac:dyDescent="0.25">
      <c r="A271" s="41"/>
      <c r="B271" s="315"/>
      <c r="C271" s="315"/>
      <c r="D271" s="41"/>
      <c r="E271" s="243"/>
      <c r="F271" s="243"/>
      <c r="G271" s="244"/>
      <c r="H271" s="243"/>
      <c r="I271" s="243"/>
      <c r="J271" s="243"/>
      <c r="K271" s="243"/>
      <c r="L271" s="243"/>
      <c r="M271" s="243"/>
      <c r="N271" s="243"/>
      <c r="O271" s="243"/>
      <c r="P271" s="243"/>
    </row>
    <row r="272" spans="1:16" ht="12.75" customHeight="1" x14ac:dyDescent="0.25">
      <c r="A272" s="29" t="s">
        <v>343</v>
      </c>
      <c r="B272" s="317"/>
      <c r="C272" s="123"/>
      <c r="E272" s="243"/>
      <c r="F272" s="243"/>
      <c r="G272" s="244"/>
      <c r="H272" s="243"/>
      <c r="I272" s="243"/>
      <c r="J272" s="243"/>
      <c r="K272" s="243"/>
      <c r="L272" s="243"/>
      <c r="M272" s="243"/>
      <c r="N272" s="243"/>
      <c r="O272" s="243"/>
      <c r="P272" s="243"/>
    </row>
    <row r="273" spans="1:16" ht="12.75" customHeight="1" x14ac:dyDescent="0.25">
      <c r="A273" s="41"/>
      <c r="B273" s="315">
        <f>Sum!B328</f>
        <v>0</v>
      </c>
      <c r="C273" s="315">
        <f>Sum!C328</f>
        <v>3000</v>
      </c>
      <c r="D273" s="41"/>
      <c r="E273" s="45">
        <f>E$77*E182</f>
        <v>0.44145000000000001</v>
      </c>
      <c r="F273" s="45">
        <f t="shared" ref="F273:I273" si="391">F$77*F182</f>
        <v>0.44145000000000001</v>
      </c>
      <c r="G273" s="158">
        <f t="shared" si="391"/>
        <v>0.44145000000000001</v>
      </c>
      <c r="H273" s="45">
        <f t="shared" si="391"/>
        <v>0.44145000000000001</v>
      </c>
      <c r="I273" s="45">
        <f t="shared" si="391"/>
        <v>0.44145000000000001</v>
      </c>
      <c r="J273" s="45">
        <f t="shared" ref="J273:P273" si="392">J$77*J182</f>
        <v>0.44145000000000001</v>
      </c>
      <c r="K273" s="45">
        <f t="shared" si="392"/>
        <v>0.44145000000000001</v>
      </c>
      <c r="L273" s="45">
        <f t="shared" si="392"/>
        <v>0.44145000000000001</v>
      </c>
      <c r="M273" s="45">
        <f t="shared" si="392"/>
        <v>0.44145000000000001</v>
      </c>
      <c r="N273" s="45">
        <f t="shared" si="392"/>
        <v>0.44145000000000001</v>
      </c>
      <c r="O273" s="45">
        <f t="shared" si="392"/>
        <v>0.44145000000000001</v>
      </c>
      <c r="P273" s="45">
        <f t="shared" si="392"/>
        <v>0.44145000000000001</v>
      </c>
    </row>
    <row r="274" spans="1:16" ht="12.75" customHeight="1" x14ac:dyDescent="0.25">
      <c r="A274" s="41"/>
      <c r="B274" s="315">
        <f>Sum!B329</f>
        <v>0</v>
      </c>
      <c r="C274" s="315">
        <f>Sum!C329</f>
        <v>0</v>
      </c>
      <c r="D274" s="41"/>
      <c r="E274" s="45">
        <f t="shared" ref="E274:I274" si="393">E$77*E183</f>
        <v>1.3243499999999999</v>
      </c>
      <c r="F274" s="45">
        <f t="shared" si="393"/>
        <v>1.3243499999999999</v>
      </c>
      <c r="G274" s="158">
        <f t="shared" si="393"/>
        <v>1.3243499999999999</v>
      </c>
      <c r="H274" s="45">
        <f t="shared" si="393"/>
        <v>1.3243499999999999</v>
      </c>
      <c r="I274" s="45">
        <f t="shared" si="393"/>
        <v>1.3243499999999999</v>
      </c>
      <c r="J274" s="45">
        <f t="shared" ref="J274:P274" si="394">J$77*J183</f>
        <v>1.3243499999999999</v>
      </c>
      <c r="K274" s="45">
        <f t="shared" si="394"/>
        <v>1.3243499999999999</v>
      </c>
      <c r="L274" s="45">
        <f t="shared" si="394"/>
        <v>1.3243499999999999</v>
      </c>
      <c r="M274" s="45">
        <f t="shared" si="394"/>
        <v>1.3243499999999999</v>
      </c>
      <c r="N274" s="45">
        <f t="shared" si="394"/>
        <v>1.3243499999999999</v>
      </c>
      <c r="O274" s="45">
        <f t="shared" si="394"/>
        <v>1.3243499999999999</v>
      </c>
      <c r="P274" s="45">
        <f t="shared" si="394"/>
        <v>1.3243499999999999</v>
      </c>
    </row>
    <row r="275" spans="1:16" ht="12.75" customHeight="1" x14ac:dyDescent="0.25">
      <c r="A275" s="41"/>
      <c r="B275" s="315">
        <f>Sum!B330</f>
        <v>0</v>
      </c>
      <c r="C275" s="315">
        <f>Sum!C330</f>
        <v>0</v>
      </c>
      <c r="D275" s="41"/>
      <c r="E275" s="45">
        <f t="shared" ref="E275:I275" si="395">E$77*E184</f>
        <v>0</v>
      </c>
      <c r="F275" s="45">
        <f t="shared" si="395"/>
        <v>0</v>
      </c>
      <c r="G275" s="158">
        <f t="shared" si="395"/>
        <v>0</v>
      </c>
      <c r="H275" s="45">
        <f t="shared" si="395"/>
        <v>0</v>
      </c>
      <c r="I275" s="45">
        <f t="shared" si="395"/>
        <v>0</v>
      </c>
      <c r="J275" s="45">
        <f t="shared" ref="J275:P275" si="396">J$77*J184</f>
        <v>0</v>
      </c>
      <c r="K275" s="45">
        <f t="shared" si="396"/>
        <v>0</v>
      </c>
      <c r="L275" s="45">
        <f t="shared" si="396"/>
        <v>0</v>
      </c>
      <c r="M275" s="45">
        <f t="shared" si="396"/>
        <v>0</v>
      </c>
      <c r="N275" s="45">
        <f t="shared" si="396"/>
        <v>0</v>
      </c>
      <c r="O275" s="45">
        <f t="shared" si="396"/>
        <v>0</v>
      </c>
      <c r="P275" s="45">
        <f t="shared" si="396"/>
        <v>0</v>
      </c>
    </row>
    <row r="276" spans="1:16" ht="12.75" customHeight="1" x14ac:dyDescent="0.25">
      <c r="A276" s="41"/>
      <c r="B276" s="315">
        <f>Sum!B331</f>
        <v>0</v>
      </c>
      <c r="C276" s="315">
        <f>Sum!C331</f>
        <v>0</v>
      </c>
      <c r="D276" s="41"/>
      <c r="E276" s="45">
        <f t="shared" ref="E276:I276" si="397">E$77*E185</f>
        <v>0</v>
      </c>
      <c r="F276" s="45">
        <f t="shared" si="397"/>
        <v>0</v>
      </c>
      <c r="G276" s="158">
        <f t="shared" si="397"/>
        <v>0</v>
      </c>
      <c r="H276" s="45">
        <f t="shared" si="397"/>
        <v>0</v>
      </c>
      <c r="I276" s="45">
        <f t="shared" si="397"/>
        <v>0</v>
      </c>
      <c r="J276" s="45">
        <f t="shared" ref="J276:P276" si="398">J$77*J185</f>
        <v>0</v>
      </c>
      <c r="K276" s="45">
        <f t="shared" si="398"/>
        <v>0</v>
      </c>
      <c r="L276" s="45">
        <f t="shared" si="398"/>
        <v>0</v>
      </c>
      <c r="M276" s="45">
        <f t="shared" si="398"/>
        <v>0</v>
      </c>
      <c r="N276" s="45">
        <f t="shared" si="398"/>
        <v>0</v>
      </c>
      <c r="O276" s="45">
        <f t="shared" si="398"/>
        <v>0</v>
      </c>
      <c r="P276" s="45">
        <f t="shared" si="398"/>
        <v>0</v>
      </c>
    </row>
    <row r="277" spans="1:16" ht="12.75" customHeight="1" x14ac:dyDescent="0.25">
      <c r="A277" s="41"/>
      <c r="B277" s="315">
        <f>Sum!B332</f>
        <v>0</v>
      </c>
      <c r="C277" s="315">
        <f>Sum!C332</f>
        <v>0</v>
      </c>
      <c r="D277" s="41"/>
      <c r="E277" s="45">
        <f t="shared" ref="E277:I277" si="399">E$77*E186</f>
        <v>0</v>
      </c>
      <c r="F277" s="45">
        <f t="shared" si="399"/>
        <v>0</v>
      </c>
      <c r="G277" s="158">
        <f t="shared" si="399"/>
        <v>0</v>
      </c>
      <c r="H277" s="45">
        <f t="shared" si="399"/>
        <v>0</v>
      </c>
      <c r="I277" s="45">
        <f t="shared" si="399"/>
        <v>0</v>
      </c>
      <c r="J277" s="45">
        <f t="shared" ref="J277:P277" si="400">J$77*J186</f>
        <v>0</v>
      </c>
      <c r="K277" s="45">
        <f t="shared" si="400"/>
        <v>0</v>
      </c>
      <c r="L277" s="45">
        <f t="shared" si="400"/>
        <v>0</v>
      </c>
      <c r="M277" s="45">
        <f t="shared" si="400"/>
        <v>0</v>
      </c>
      <c r="N277" s="45">
        <f t="shared" si="400"/>
        <v>0</v>
      </c>
      <c r="O277" s="45">
        <f t="shared" si="400"/>
        <v>0</v>
      </c>
      <c r="P277" s="45">
        <f t="shared" si="400"/>
        <v>0</v>
      </c>
    </row>
    <row r="278" spans="1:16" ht="12.75" customHeight="1" x14ac:dyDescent="0.25">
      <c r="A278" s="41"/>
      <c r="B278" s="316">
        <f>Sum!B333</f>
        <v>0</v>
      </c>
      <c r="C278" s="316">
        <f>Sum!C333</f>
        <v>0</v>
      </c>
      <c r="D278" s="223"/>
      <c r="E278" s="49">
        <f t="shared" ref="E278:I278" si="401">E$77*E187</f>
        <v>0</v>
      </c>
      <c r="F278" s="49">
        <f t="shared" si="401"/>
        <v>0</v>
      </c>
      <c r="G278" s="189">
        <f t="shared" si="401"/>
        <v>0</v>
      </c>
      <c r="H278" s="49">
        <f t="shared" si="401"/>
        <v>0</v>
      </c>
      <c r="I278" s="49">
        <f t="shared" si="401"/>
        <v>0</v>
      </c>
      <c r="J278" s="49">
        <f t="shared" ref="J278:P278" si="402">J$77*J187</f>
        <v>0</v>
      </c>
      <c r="K278" s="49">
        <f t="shared" si="402"/>
        <v>0</v>
      </c>
      <c r="L278" s="49">
        <f t="shared" si="402"/>
        <v>0</v>
      </c>
      <c r="M278" s="49">
        <f t="shared" si="402"/>
        <v>0</v>
      </c>
      <c r="N278" s="49">
        <f t="shared" si="402"/>
        <v>0</v>
      </c>
      <c r="O278" s="49">
        <f t="shared" si="402"/>
        <v>0</v>
      </c>
      <c r="P278" s="49">
        <f t="shared" si="402"/>
        <v>0</v>
      </c>
    </row>
    <row r="279" spans="1:16" ht="12.75" customHeight="1" x14ac:dyDescent="0.25">
      <c r="A279" s="41"/>
      <c r="B279" s="315"/>
      <c r="C279" s="315" t="s">
        <v>219</v>
      </c>
      <c r="D279" s="41"/>
      <c r="E279" s="243">
        <f t="shared" ref="E279:I279" si="403">SUM(E273:E278)</f>
        <v>1.7658</v>
      </c>
      <c r="F279" s="243">
        <f t="shared" si="403"/>
        <v>1.7658</v>
      </c>
      <c r="G279" s="158">
        <f t="shared" si="403"/>
        <v>1.7658</v>
      </c>
      <c r="H279" s="45">
        <f t="shared" si="403"/>
        <v>1.7658</v>
      </c>
      <c r="I279" s="45">
        <f t="shared" si="403"/>
        <v>1.7658</v>
      </c>
      <c r="J279" s="45">
        <f t="shared" ref="J279:P279" si="404">SUM(J273:J278)</f>
        <v>1.7658</v>
      </c>
      <c r="K279" s="45">
        <f t="shared" si="404"/>
        <v>1.7658</v>
      </c>
      <c r="L279" s="45">
        <f t="shared" si="404"/>
        <v>1.7658</v>
      </c>
      <c r="M279" s="45">
        <f t="shared" si="404"/>
        <v>1.7658</v>
      </c>
      <c r="N279" s="45">
        <f t="shared" si="404"/>
        <v>1.7658</v>
      </c>
      <c r="O279" s="45">
        <f t="shared" si="404"/>
        <v>1.7658</v>
      </c>
      <c r="P279" s="45">
        <f t="shared" si="404"/>
        <v>1.7658</v>
      </c>
    </row>
    <row r="280" spans="1:16" ht="12.75" customHeight="1" x14ac:dyDescent="0.25">
      <c r="A280" s="41"/>
      <c r="B280" s="315"/>
      <c r="C280" s="315"/>
      <c r="D280" s="41"/>
      <c r="E280" s="243"/>
      <c r="F280" s="243"/>
      <c r="G280" s="244"/>
      <c r="H280" s="243"/>
      <c r="I280" s="243"/>
      <c r="J280" s="243"/>
      <c r="K280" s="243"/>
      <c r="L280" s="243"/>
      <c r="M280" s="243"/>
      <c r="N280" s="243"/>
      <c r="O280" s="243"/>
      <c r="P280" s="243"/>
    </row>
    <row r="281" spans="1:16" ht="12.75" customHeight="1" x14ac:dyDescent="0.25">
      <c r="A281" s="29" t="s">
        <v>297</v>
      </c>
      <c r="B281" s="317"/>
      <c r="C281" s="123"/>
      <c r="E281" s="243"/>
      <c r="F281" s="243"/>
      <c r="G281" s="244"/>
      <c r="H281" s="243"/>
      <c r="I281" s="243"/>
      <c r="J281" s="243"/>
      <c r="K281" s="243"/>
      <c r="L281" s="243"/>
      <c r="M281" s="243"/>
      <c r="N281" s="243"/>
      <c r="O281" s="243"/>
      <c r="P281" s="243"/>
    </row>
    <row r="282" spans="1:16" ht="12.75" customHeight="1" x14ac:dyDescent="0.25">
      <c r="A282" s="41"/>
      <c r="B282" s="315">
        <f>Sum!B336</f>
        <v>0</v>
      </c>
      <c r="C282" s="315">
        <f>Sum!C336</f>
        <v>99999999</v>
      </c>
      <c r="D282" s="41"/>
      <c r="E282" s="45">
        <f>E$78*E191</f>
        <v>0</v>
      </c>
      <c r="F282" s="45">
        <f t="shared" ref="F282:I282" si="405">F$78*F191</f>
        <v>0</v>
      </c>
      <c r="G282" s="158">
        <f t="shared" si="405"/>
        <v>0</v>
      </c>
      <c r="H282" s="45">
        <f t="shared" si="405"/>
        <v>0</v>
      </c>
      <c r="I282" s="45">
        <f t="shared" si="405"/>
        <v>0</v>
      </c>
      <c r="J282" s="45">
        <f t="shared" ref="J282:P282" si="406">J$78*J191</f>
        <v>0</v>
      </c>
      <c r="K282" s="45">
        <f t="shared" si="406"/>
        <v>0</v>
      </c>
      <c r="L282" s="45">
        <f t="shared" si="406"/>
        <v>0</v>
      </c>
      <c r="M282" s="45">
        <f t="shared" si="406"/>
        <v>0</v>
      </c>
      <c r="N282" s="45">
        <f t="shared" si="406"/>
        <v>0</v>
      </c>
      <c r="O282" s="45">
        <f t="shared" si="406"/>
        <v>0</v>
      </c>
      <c r="P282" s="45">
        <f t="shared" si="406"/>
        <v>0</v>
      </c>
    </row>
    <row r="283" spans="1:16" ht="12.75" customHeight="1" x14ac:dyDescent="0.25">
      <c r="A283" s="41"/>
      <c r="B283" s="315">
        <f>Sum!B337</f>
        <v>0</v>
      </c>
      <c r="C283" s="315">
        <f>Sum!C337</f>
        <v>0</v>
      </c>
      <c r="D283" s="41"/>
      <c r="E283" s="45">
        <f t="shared" ref="E283:I283" si="407">E$78*E192</f>
        <v>0</v>
      </c>
      <c r="F283" s="45">
        <f t="shared" si="407"/>
        <v>0</v>
      </c>
      <c r="G283" s="158">
        <f t="shared" si="407"/>
        <v>0</v>
      </c>
      <c r="H283" s="45">
        <f t="shared" si="407"/>
        <v>0</v>
      </c>
      <c r="I283" s="45">
        <f t="shared" si="407"/>
        <v>0</v>
      </c>
      <c r="J283" s="45">
        <f t="shared" ref="J283:P283" si="408">J$78*J192</f>
        <v>0</v>
      </c>
      <c r="K283" s="45">
        <f t="shared" si="408"/>
        <v>0</v>
      </c>
      <c r="L283" s="45">
        <f t="shared" si="408"/>
        <v>0</v>
      </c>
      <c r="M283" s="45">
        <f t="shared" si="408"/>
        <v>0</v>
      </c>
      <c r="N283" s="45">
        <f t="shared" si="408"/>
        <v>0</v>
      </c>
      <c r="O283" s="45">
        <f t="shared" si="408"/>
        <v>0</v>
      </c>
      <c r="P283" s="45">
        <f t="shared" si="408"/>
        <v>0</v>
      </c>
    </row>
    <row r="284" spans="1:16" ht="12.75" customHeight="1" x14ac:dyDescent="0.25">
      <c r="A284" s="41"/>
      <c r="B284" s="315">
        <f>Sum!B338</f>
        <v>0</v>
      </c>
      <c r="C284" s="315">
        <f>Sum!C338</f>
        <v>0</v>
      </c>
      <c r="D284" s="41"/>
      <c r="E284" s="45">
        <f t="shared" ref="E284:I284" si="409">E$78*E193</f>
        <v>0</v>
      </c>
      <c r="F284" s="45">
        <f t="shared" si="409"/>
        <v>0</v>
      </c>
      <c r="G284" s="158">
        <f t="shared" si="409"/>
        <v>0</v>
      </c>
      <c r="H284" s="45">
        <f t="shared" si="409"/>
        <v>0</v>
      </c>
      <c r="I284" s="45">
        <f t="shared" si="409"/>
        <v>0</v>
      </c>
      <c r="J284" s="45">
        <f t="shared" ref="J284:P284" si="410">J$78*J193</f>
        <v>0</v>
      </c>
      <c r="K284" s="45">
        <f t="shared" si="410"/>
        <v>0</v>
      </c>
      <c r="L284" s="45">
        <f t="shared" si="410"/>
        <v>0</v>
      </c>
      <c r="M284" s="45">
        <f t="shared" si="410"/>
        <v>0</v>
      </c>
      <c r="N284" s="45">
        <f t="shared" si="410"/>
        <v>0</v>
      </c>
      <c r="O284" s="45">
        <f t="shared" si="410"/>
        <v>0</v>
      </c>
      <c r="P284" s="45">
        <f t="shared" si="410"/>
        <v>0</v>
      </c>
    </row>
    <row r="285" spans="1:16" ht="12.75" customHeight="1" x14ac:dyDescent="0.25">
      <c r="A285" s="41"/>
      <c r="B285" s="315">
        <f>Sum!B339</f>
        <v>0</v>
      </c>
      <c r="C285" s="315">
        <f>Sum!C339</f>
        <v>0</v>
      </c>
      <c r="D285" s="41"/>
      <c r="E285" s="45">
        <f t="shared" ref="E285:I285" si="411">E$78*E194</f>
        <v>0</v>
      </c>
      <c r="F285" s="45">
        <f t="shared" si="411"/>
        <v>0</v>
      </c>
      <c r="G285" s="158">
        <f t="shared" si="411"/>
        <v>0</v>
      </c>
      <c r="H285" s="45">
        <f t="shared" si="411"/>
        <v>0</v>
      </c>
      <c r="I285" s="45">
        <f t="shared" si="411"/>
        <v>0</v>
      </c>
      <c r="J285" s="45">
        <f t="shared" ref="J285:P285" si="412">J$78*J194</f>
        <v>0</v>
      </c>
      <c r="K285" s="45">
        <f t="shared" si="412"/>
        <v>0</v>
      </c>
      <c r="L285" s="45">
        <f t="shared" si="412"/>
        <v>0</v>
      </c>
      <c r="M285" s="45">
        <f t="shared" si="412"/>
        <v>0</v>
      </c>
      <c r="N285" s="45">
        <f t="shared" si="412"/>
        <v>0</v>
      </c>
      <c r="O285" s="45">
        <f t="shared" si="412"/>
        <v>0</v>
      </c>
      <c r="P285" s="45">
        <f t="shared" si="412"/>
        <v>0</v>
      </c>
    </row>
    <row r="286" spans="1:16" ht="12.75" customHeight="1" x14ac:dyDescent="0.25">
      <c r="A286" s="41"/>
      <c r="B286" s="315">
        <f>Sum!B340</f>
        <v>0</v>
      </c>
      <c r="C286" s="315">
        <f>Sum!C340</f>
        <v>0</v>
      </c>
      <c r="D286" s="41"/>
      <c r="E286" s="45">
        <f t="shared" ref="E286:I286" si="413">E$78*E195</f>
        <v>0</v>
      </c>
      <c r="F286" s="45">
        <f t="shared" si="413"/>
        <v>0</v>
      </c>
      <c r="G286" s="158">
        <f t="shared" si="413"/>
        <v>0</v>
      </c>
      <c r="H286" s="45">
        <f t="shared" si="413"/>
        <v>0</v>
      </c>
      <c r="I286" s="45">
        <f t="shared" si="413"/>
        <v>0</v>
      </c>
      <c r="J286" s="45">
        <f t="shared" ref="J286:P286" si="414">J$78*J195</f>
        <v>0</v>
      </c>
      <c r="K286" s="45">
        <f t="shared" si="414"/>
        <v>0</v>
      </c>
      <c r="L286" s="45">
        <f t="shared" si="414"/>
        <v>0</v>
      </c>
      <c r="M286" s="45">
        <f t="shared" si="414"/>
        <v>0</v>
      </c>
      <c r="N286" s="45">
        <f t="shared" si="414"/>
        <v>0</v>
      </c>
      <c r="O286" s="45">
        <f t="shared" si="414"/>
        <v>0</v>
      </c>
      <c r="P286" s="45">
        <f t="shared" si="414"/>
        <v>0</v>
      </c>
    </row>
    <row r="287" spans="1:16" ht="12.75" customHeight="1" x14ac:dyDescent="0.25">
      <c r="A287" s="41"/>
      <c r="B287" s="316">
        <f>Sum!B341</f>
        <v>0</v>
      </c>
      <c r="C287" s="316">
        <f>Sum!C341</f>
        <v>0</v>
      </c>
      <c r="D287" s="223"/>
      <c r="E287" s="49">
        <f t="shared" ref="E287:I287" si="415">E$78*E196</f>
        <v>0</v>
      </c>
      <c r="F287" s="49">
        <f t="shared" si="415"/>
        <v>0</v>
      </c>
      <c r="G287" s="189">
        <f t="shared" si="415"/>
        <v>0</v>
      </c>
      <c r="H287" s="49">
        <f t="shared" si="415"/>
        <v>0</v>
      </c>
      <c r="I287" s="49">
        <f t="shared" si="415"/>
        <v>0</v>
      </c>
      <c r="J287" s="49">
        <f t="shared" ref="J287:P287" si="416">J$78*J196</f>
        <v>0</v>
      </c>
      <c r="K287" s="49">
        <f t="shared" si="416"/>
        <v>0</v>
      </c>
      <c r="L287" s="49">
        <f t="shared" si="416"/>
        <v>0</v>
      </c>
      <c r="M287" s="49">
        <f t="shared" si="416"/>
        <v>0</v>
      </c>
      <c r="N287" s="49">
        <f t="shared" si="416"/>
        <v>0</v>
      </c>
      <c r="O287" s="49">
        <f t="shared" si="416"/>
        <v>0</v>
      </c>
      <c r="P287" s="49">
        <f t="shared" si="416"/>
        <v>0</v>
      </c>
    </row>
    <row r="288" spans="1:16" ht="12.75" customHeight="1" x14ac:dyDescent="0.25">
      <c r="A288" s="41"/>
      <c r="B288" s="315"/>
      <c r="C288" s="315" t="s">
        <v>219</v>
      </c>
      <c r="D288" s="41"/>
      <c r="E288" s="243">
        <f t="shared" ref="E288:I288" si="417">SUM(E282:E287)</f>
        <v>0</v>
      </c>
      <c r="F288" s="243">
        <f t="shared" si="417"/>
        <v>0</v>
      </c>
      <c r="G288" s="158">
        <f t="shared" si="417"/>
        <v>0</v>
      </c>
      <c r="H288" s="45">
        <f t="shared" si="417"/>
        <v>0</v>
      </c>
      <c r="I288" s="45">
        <f t="shared" si="417"/>
        <v>0</v>
      </c>
      <c r="J288" s="45">
        <f t="shared" ref="J288:P288" si="418">SUM(J282:J287)</f>
        <v>0</v>
      </c>
      <c r="K288" s="45">
        <f t="shared" si="418"/>
        <v>0</v>
      </c>
      <c r="L288" s="45">
        <f t="shared" si="418"/>
        <v>0</v>
      </c>
      <c r="M288" s="45">
        <f t="shared" si="418"/>
        <v>0</v>
      </c>
      <c r="N288" s="45">
        <f t="shared" si="418"/>
        <v>0</v>
      </c>
      <c r="O288" s="45">
        <f t="shared" si="418"/>
        <v>0</v>
      </c>
      <c r="P288" s="45">
        <f t="shared" si="418"/>
        <v>0</v>
      </c>
    </row>
    <row r="289" spans="1:16" ht="12.75" customHeight="1" x14ac:dyDescent="0.25">
      <c r="A289" s="41"/>
      <c r="B289" s="315"/>
      <c r="C289" s="315"/>
      <c r="D289" s="41"/>
      <c r="E289" s="243"/>
      <c r="F289" s="243"/>
      <c r="G289" s="244"/>
      <c r="H289" s="243"/>
      <c r="I289" s="243"/>
      <c r="J289" s="243"/>
      <c r="K289" s="243"/>
      <c r="L289" s="243"/>
      <c r="M289" s="243"/>
      <c r="N289" s="243"/>
      <c r="O289" s="243"/>
      <c r="P289" s="243"/>
    </row>
    <row r="290" spans="1:16" ht="12.75" customHeight="1" x14ac:dyDescent="0.25">
      <c r="A290" s="29" t="s">
        <v>297</v>
      </c>
      <c r="B290" s="317"/>
      <c r="C290" s="123"/>
      <c r="E290" s="243"/>
      <c r="F290" s="243"/>
      <c r="G290" s="244"/>
      <c r="H290" s="243"/>
      <c r="I290" s="243"/>
      <c r="J290" s="243"/>
      <c r="K290" s="243"/>
      <c r="L290" s="243"/>
      <c r="M290" s="243"/>
      <c r="N290" s="243"/>
      <c r="O290" s="243"/>
      <c r="P290" s="243"/>
    </row>
    <row r="291" spans="1:16" ht="12.75" customHeight="1" x14ac:dyDescent="0.25">
      <c r="A291" s="41"/>
      <c r="B291" s="315">
        <f>Sum!B344</f>
        <v>0</v>
      </c>
      <c r="C291" s="315">
        <f>Sum!C344</f>
        <v>99999999</v>
      </c>
      <c r="D291" s="41"/>
      <c r="E291" s="45">
        <f>E$79*E200</f>
        <v>0</v>
      </c>
      <c r="F291" s="45">
        <f t="shared" ref="F291:I291" si="419">F$79*F200</f>
        <v>0</v>
      </c>
      <c r="G291" s="158">
        <f t="shared" si="419"/>
        <v>0</v>
      </c>
      <c r="H291" s="45">
        <f t="shared" si="419"/>
        <v>0</v>
      </c>
      <c r="I291" s="45">
        <f t="shared" si="419"/>
        <v>0</v>
      </c>
      <c r="J291" s="45">
        <f t="shared" ref="J291:P291" si="420">J$79*J200</f>
        <v>0</v>
      </c>
      <c r="K291" s="45">
        <f t="shared" si="420"/>
        <v>0</v>
      </c>
      <c r="L291" s="45">
        <f t="shared" si="420"/>
        <v>0</v>
      </c>
      <c r="M291" s="45">
        <f t="shared" si="420"/>
        <v>0</v>
      </c>
      <c r="N291" s="45">
        <f t="shared" si="420"/>
        <v>0</v>
      </c>
      <c r="O291" s="45">
        <f t="shared" si="420"/>
        <v>0</v>
      </c>
      <c r="P291" s="45">
        <f t="shared" si="420"/>
        <v>0</v>
      </c>
    </row>
    <row r="292" spans="1:16" ht="12.75" customHeight="1" x14ac:dyDescent="0.25">
      <c r="A292" s="41"/>
      <c r="B292" s="315">
        <f>Sum!B345</f>
        <v>0</v>
      </c>
      <c r="C292" s="315">
        <f>Sum!C345</f>
        <v>0</v>
      </c>
      <c r="D292" s="41"/>
      <c r="E292" s="45">
        <f t="shared" ref="E292:I292" si="421">E$79*E201</f>
        <v>0</v>
      </c>
      <c r="F292" s="45">
        <f t="shared" si="421"/>
        <v>0</v>
      </c>
      <c r="G292" s="158">
        <f t="shared" si="421"/>
        <v>0</v>
      </c>
      <c r="H292" s="45">
        <f t="shared" si="421"/>
        <v>0</v>
      </c>
      <c r="I292" s="45">
        <f t="shared" si="421"/>
        <v>0</v>
      </c>
      <c r="J292" s="45">
        <f t="shared" ref="J292:P292" si="422">J$79*J201</f>
        <v>0</v>
      </c>
      <c r="K292" s="45">
        <f t="shared" si="422"/>
        <v>0</v>
      </c>
      <c r="L292" s="45">
        <f t="shared" si="422"/>
        <v>0</v>
      </c>
      <c r="M292" s="45">
        <f t="shared" si="422"/>
        <v>0</v>
      </c>
      <c r="N292" s="45">
        <f t="shared" si="422"/>
        <v>0</v>
      </c>
      <c r="O292" s="45">
        <f t="shared" si="422"/>
        <v>0</v>
      </c>
      <c r="P292" s="45">
        <f t="shared" si="422"/>
        <v>0</v>
      </c>
    </row>
    <row r="293" spans="1:16" ht="12.75" customHeight="1" x14ac:dyDescent="0.25">
      <c r="A293" s="41"/>
      <c r="B293" s="315">
        <f>Sum!B346</f>
        <v>0</v>
      </c>
      <c r="C293" s="315">
        <f>Sum!C346</f>
        <v>0</v>
      </c>
      <c r="D293" s="41"/>
      <c r="E293" s="45">
        <f t="shared" ref="E293:I293" si="423">E$79*E202</f>
        <v>0</v>
      </c>
      <c r="F293" s="45">
        <f t="shared" si="423"/>
        <v>0</v>
      </c>
      <c r="G293" s="158">
        <f t="shared" si="423"/>
        <v>0</v>
      </c>
      <c r="H293" s="45">
        <f t="shared" si="423"/>
        <v>0</v>
      </c>
      <c r="I293" s="45">
        <f t="shared" si="423"/>
        <v>0</v>
      </c>
      <c r="J293" s="45">
        <f t="shared" ref="J293:P293" si="424">J$79*J202</f>
        <v>0</v>
      </c>
      <c r="K293" s="45">
        <f t="shared" si="424"/>
        <v>0</v>
      </c>
      <c r="L293" s="45">
        <f t="shared" si="424"/>
        <v>0</v>
      </c>
      <c r="M293" s="45">
        <f t="shared" si="424"/>
        <v>0</v>
      </c>
      <c r="N293" s="45">
        <f t="shared" si="424"/>
        <v>0</v>
      </c>
      <c r="O293" s="45">
        <f t="shared" si="424"/>
        <v>0</v>
      </c>
      <c r="P293" s="45">
        <f t="shared" si="424"/>
        <v>0</v>
      </c>
    </row>
    <row r="294" spans="1:16" ht="12.75" customHeight="1" x14ac:dyDescent="0.25">
      <c r="A294" s="41"/>
      <c r="B294" s="315">
        <f>Sum!B347</f>
        <v>0</v>
      </c>
      <c r="C294" s="315">
        <f>Sum!C347</f>
        <v>0</v>
      </c>
      <c r="D294" s="41"/>
      <c r="E294" s="45">
        <f t="shared" ref="E294:I294" si="425">E$79*E203</f>
        <v>0</v>
      </c>
      <c r="F294" s="45">
        <f t="shared" si="425"/>
        <v>0</v>
      </c>
      <c r="G294" s="158">
        <f t="shared" si="425"/>
        <v>0</v>
      </c>
      <c r="H294" s="45">
        <f t="shared" si="425"/>
        <v>0</v>
      </c>
      <c r="I294" s="45">
        <f t="shared" si="425"/>
        <v>0</v>
      </c>
      <c r="J294" s="45">
        <f t="shared" ref="J294:P294" si="426">J$79*J203</f>
        <v>0</v>
      </c>
      <c r="K294" s="45">
        <f t="shared" si="426"/>
        <v>0</v>
      </c>
      <c r="L294" s="45">
        <f t="shared" si="426"/>
        <v>0</v>
      </c>
      <c r="M294" s="45">
        <f t="shared" si="426"/>
        <v>0</v>
      </c>
      <c r="N294" s="45">
        <f t="shared" si="426"/>
        <v>0</v>
      </c>
      <c r="O294" s="45">
        <f t="shared" si="426"/>
        <v>0</v>
      </c>
      <c r="P294" s="45">
        <f t="shared" si="426"/>
        <v>0</v>
      </c>
    </row>
    <row r="295" spans="1:16" ht="12.75" customHeight="1" x14ac:dyDescent="0.25">
      <c r="A295" s="41"/>
      <c r="B295" s="315">
        <f>Sum!B348</f>
        <v>0</v>
      </c>
      <c r="C295" s="315">
        <f>Sum!C348</f>
        <v>0</v>
      </c>
      <c r="D295" s="41"/>
      <c r="E295" s="45">
        <f t="shared" ref="E295:I295" si="427">E$79*E204</f>
        <v>0</v>
      </c>
      <c r="F295" s="45">
        <f t="shared" si="427"/>
        <v>0</v>
      </c>
      <c r="G295" s="158">
        <f t="shared" si="427"/>
        <v>0</v>
      </c>
      <c r="H295" s="45">
        <f t="shared" si="427"/>
        <v>0</v>
      </c>
      <c r="I295" s="45">
        <f t="shared" si="427"/>
        <v>0</v>
      </c>
      <c r="J295" s="45">
        <f t="shared" ref="J295:P295" si="428">J$79*J204</f>
        <v>0</v>
      </c>
      <c r="K295" s="45">
        <f t="shared" si="428"/>
        <v>0</v>
      </c>
      <c r="L295" s="45">
        <f t="shared" si="428"/>
        <v>0</v>
      </c>
      <c r="M295" s="45">
        <f t="shared" si="428"/>
        <v>0</v>
      </c>
      <c r="N295" s="45">
        <f t="shared" si="428"/>
        <v>0</v>
      </c>
      <c r="O295" s="45">
        <f t="shared" si="428"/>
        <v>0</v>
      </c>
      <c r="P295" s="45">
        <f t="shared" si="428"/>
        <v>0</v>
      </c>
    </row>
    <row r="296" spans="1:16" ht="12.75" customHeight="1" x14ac:dyDescent="0.25">
      <c r="A296" s="41"/>
      <c r="B296" s="316">
        <f>Sum!B349</f>
        <v>0</v>
      </c>
      <c r="C296" s="316">
        <f>Sum!C349</f>
        <v>0</v>
      </c>
      <c r="D296" s="223"/>
      <c r="E296" s="49">
        <f t="shared" ref="E296:I296" si="429">E$79*E205</f>
        <v>0</v>
      </c>
      <c r="F296" s="49">
        <f t="shared" si="429"/>
        <v>0</v>
      </c>
      <c r="G296" s="189">
        <f t="shared" si="429"/>
        <v>0</v>
      </c>
      <c r="H296" s="49">
        <f t="shared" si="429"/>
        <v>0</v>
      </c>
      <c r="I296" s="49">
        <f t="shared" si="429"/>
        <v>0</v>
      </c>
      <c r="J296" s="49">
        <f t="shared" ref="J296:P296" si="430">J$79*J205</f>
        <v>0</v>
      </c>
      <c r="K296" s="49">
        <f t="shared" si="430"/>
        <v>0</v>
      </c>
      <c r="L296" s="49">
        <f t="shared" si="430"/>
        <v>0</v>
      </c>
      <c r="M296" s="49">
        <f t="shared" si="430"/>
        <v>0</v>
      </c>
      <c r="N296" s="49">
        <f t="shared" si="430"/>
        <v>0</v>
      </c>
      <c r="O296" s="49">
        <f t="shared" si="430"/>
        <v>0</v>
      </c>
      <c r="P296" s="49">
        <f t="shared" si="430"/>
        <v>0</v>
      </c>
    </row>
    <row r="297" spans="1:16" ht="12.75" customHeight="1" x14ac:dyDescent="0.25">
      <c r="A297" s="41"/>
      <c r="B297" s="315"/>
      <c r="C297" s="315" t="s">
        <v>219</v>
      </c>
      <c r="D297" s="41"/>
      <c r="E297" s="243">
        <f t="shared" ref="E297:I297" si="431">SUM(E291:E296)</f>
        <v>0</v>
      </c>
      <c r="F297" s="243">
        <f t="shared" si="431"/>
        <v>0</v>
      </c>
      <c r="G297" s="158">
        <f t="shared" si="431"/>
        <v>0</v>
      </c>
      <c r="H297" s="45">
        <f t="shared" si="431"/>
        <v>0</v>
      </c>
      <c r="I297" s="45">
        <f t="shared" si="431"/>
        <v>0</v>
      </c>
      <c r="J297" s="45">
        <f t="shared" ref="J297:P297" si="432">SUM(J291:J296)</f>
        <v>0</v>
      </c>
      <c r="K297" s="45">
        <f t="shared" si="432"/>
        <v>0</v>
      </c>
      <c r="L297" s="45">
        <f t="shared" si="432"/>
        <v>0</v>
      </c>
      <c r="M297" s="45">
        <f t="shared" si="432"/>
        <v>0</v>
      </c>
      <c r="N297" s="45">
        <f t="shared" si="432"/>
        <v>0</v>
      </c>
      <c r="O297" s="45">
        <f t="shared" si="432"/>
        <v>0</v>
      </c>
      <c r="P297" s="45">
        <f t="shared" si="432"/>
        <v>0</v>
      </c>
    </row>
    <row r="298" spans="1:16" ht="12.75" customHeight="1" thickBot="1" x14ac:dyDescent="0.3">
      <c r="B298" s="318"/>
      <c r="C298" s="318"/>
      <c r="D298" s="56"/>
      <c r="E298" s="221"/>
      <c r="F298" s="221"/>
      <c r="G298" s="222"/>
      <c r="H298" s="221"/>
      <c r="I298" s="221"/>
      <c r="J298" s="221"/>
      <c r="K298" s="221"/>
      <c r="L298" s="221"/>
      <c r="M298" s="221"/>
      <c r="N298" s="221"/>
      <c r="O298" s="221"/>
      <c r="P298" s="221"/>
    </row>
    <row r="299" spans="1:16" ht="12.75" customHeight="1" thickTop="1" x14ac:dyDescent="0.25">
      <c r="B299" s="314" t="s">
        <v>5</v>
      </c>
      <c r="C299" s="319"/>
      <c r="D299" s="217"/>
      <c r="E299" s="45">
        <f t="shared" ref="E299:I299" si="433">E270+E279+E288+E297</f>
        <v>21.9618</v>
      </c>
      <c r="F299" s="45">
        <f t="shared" si="433"/>
        <v>21.9618</v>
      </c>
      <c r="G299" s="158">
        <f t="shared" si="433"/>
        <v>21.9618</v>
      </c>
      <c r="H299" s="45">
        <f t="shared" si="433"/>
        <v>21.9618</v>
      </c>
      <c r="I299" s="45">
        <f t="shared" si="433"/>
        <v>21.9618</v>
      </c>
      <c r="J299" s="45">
        <f t="shared" ref="J299:P299" si="434">J270+J279+J288+J297</f>
        <v>21.9618</v>
      </c>
      <c r="K299" s="45">
        <f t="shared" si="434"/>
        <v>21.9618</v>
      </c>
      <c r="L299" s="45">
        <f t="shared" si="434"/>
        <v>21.9618</v>
      </c>
      <c r="M299" s="45">
        <f t="shared" si="434"/>
        <v>21.9618</v>
      </c>
      <c r="N299" s="45">
        <f t="shared" si="434"/>
        <v>21.9618</v>
      </c>
      <c r="O299" s="45">
        <f t="shared" si="434"/>
        <v>21.9618</v>
      </c>
      <c r="P299" s="45">
        <f t="shared" si="434"/>
        <v>21.9618</v>
      </c>
    </row>
    <row r="300" spans="1:16" ht="12.75" customHeight="1" x14ac:dyDescent="0.25">
      <c r="B300" s="320"/>
      <c r="C300" s="320"/>
      <c r="D300" s="217"/>
      <c r="E300" s="45"/>
      <c r="F300" s="45"/>
      <c r="G300" s="158"/>
      <c r="H300" s="45"/>
      <c r="I300" s="45"/>
      <c r="J300" s="45"/>
      <c r="K300" s="45"/>
      <c r="L300" s="45"/>
      <c r="M300" s="45"/>
      <c r="N300" s="45"/>
      <c r="O300" s="45"/>
      <c r="P300" s="45"/>
    </row>
    <row r="301" spans="1:16" ht="12.75" customHeight="1" x14ac:dyDescent="0.25">
      <c r="A301" s="72" t="s">
        <v>103</v>
      </c>
      <c r="B301" s="123"/>
      <c r="C301" s="123"/>
      <c r="E301" s="45"/>
      <c r="F301" s="45"/>
      <c r="G301" s="158"/>
      <c r="H301" s="45"/>
      <c r="I301" s="45"/>
      <c r="J301" s="45"/>
      <c r="K301" s="45"/>
      <c r="L301" s="45"/>
      <c r="M301" s="45"/>
      <c r="N301" s="45"/>
      <c r="O301" s="45"/>
      <c r="P301" s="45"/>
    </row>
    <row r="302" spans="1:16" ht="12.75" customHeight="1" x14ac:dyDescent="0.25">
      <c r="B302" s="336" t="s">
        <v>86</v>
      </c>
      <c r="C302" s="123"/>
      <c r="E302" s="45"/>
      <c r="F302" s="45"/>
      <c r="G302" s="158"/>
      <c r="H302" s="45"/>
      <c r="I302" s="45"/>
      <c r="J302" s="45"/>
      <c r="K302" s="45"/>
      <c r="L302" s="45"/>
      <c r="M302" s="45"/>
      <c r="N302" s="45"/>
      <c r="O302" s="45"/>
      <c r="P302" s="45"/>
    </row>
    <row r="303" spans="1:16" ht="12.75" customHeight="1" x14ac:dyDescent="0.25">
      <c r="B303" s="321">
        <f>Sum!B353</f>
        <v>0</v>
      </c>
      <c r="C303" s="321">
        <f>Sum!C353</f>
        <v>99999999</v>
      </c>
      <c r="D303" s="22"/>
      <c r="E303" s="49">
        <f>E$83*E210</f>
        <v>0</v>
      </c>
      <c r="F303" s="49">
        <f t="shared" ref="F303:I303" si="435">F$83*F210</f>
        <v>0</v>
      </c>
      <c r="G303" s="189">
        <f t="shared" si="435"/>
        <v>0</v>
      </c>
      <c r="H303" s="49">
        <f t="shared" si="435"/>
        <v>0</v>
      </c>
      <c r="I303" s="49">
        <f t="shared" si="435"/>
        <v>0</v>
      </c>
      <c r="J303" s="49">
        <f t="shared" ref="J303:P303" si="436">J$83*J210</f>
        <v>0</v>
      </c>
      <c r="K303" s="49">
        <f t="shared" si="436"/>
        <v>0</v>
      </c>
      <c r="L303" s="49">
        <f t="shared" si="436"/>
        <v>0</v>
      </c>
      <c r="M303" s="49">
        <f t="shared" si="436"/>
        <v>0</v>
      </c>
      <c r="N303" s="49">
        <f t="shared" si="436"/>
        <v>0</v>
      </c>
      <c r="O303" s="49">
        <f t="shared" si="436"/>
        <v>0</v>
      </c>
      <c r="P303" s="49">
        <f t="shared" si="436"/>
        <v>0</v>
      </c>
    </row>
    <row r="304" spans="1:16" ht="12.75" customHeight="1" x14ac:dyDescent="0.25">
      <c r="B304" s="29" t="s">
        <v>105</v>
      </c>
      <c r="E304" s="45">
        <f t="shared" ref="E304:I304" si="437">SUM(E303:E303)</f>
        <v>0</v>
      </c>
      <c r="F304" s="45">
        <f t="shared" si="437"/>
        <v>0</v>
      </c>
      <c r="G304" s="158">
        <f t="shared" si="437"/>
        <v>0</v>
      </c>
      <c r="H304" s="45">
        <f t="shared" si="437"/>
        <v>0</v>
      </c>
      <c r="I304" s="45">
        <f t="shared" si="437"/>
        <v>0</v>
      </c>
      <c r="J304" s="45">
        <f t="shared" ref="J304:P304" si="438">SUM(J303:J303)</f>
        <v>0</v>
      </c>
      <c r="K304" s="45">
        <f t="shared" si="438"/>
        <v>0</v>
      </c>
      <c r="L304" s="45">
        <f t="shared" si="438"/>
        <v>0</v>
      </c>
      <c r="M304" s="45">
        <f t="shared" si="438"/>
        <v>0</v>
      </c>
      <c r="N304" s="45">
        <f t="shared" si="438"/>
        <v>0</v>
      </c>
      <c r="O304" s="45">
        <f t="shared" si="438"/>
        <v>0</v>
      </c>
      <c r="P304" s="45">
        <f t="shared" si="438"/>
        <v>0</v>
      </c>
    </row>
    <row r="305" spans="1:16" ht="12.75" customHeight="1" thickBot="1" x14ac:dyDescent="0.3">
      <c r="A305" s="56"/>
      <c r="B305" s="56"/>
      <c r="C305" s="56"/>
      <c r="D305" s="56"/>
      <c r="E305" s="245"/>
      <c r="F305" s="245"/>
      <c r="G305" s="246"/>
      <c r="H305" s="245"/>
      <c r="I305" s="245"/>
      <c r="J305" s="245"/>
      <c r="K305" s="245"/>
      <c r="L305" s="245"/>
      <c r="M305" s="245"/>
      <c r="N305" s="245"/>
      <c r="O305" s="245"/>
      <c r="P305" s="245"/>
    </row>
    <row r="306" spans="1:16" ht="12.75" customHeight="1" thickTop="1" x14ac:dyDescent="0.25">
      <c r="A306" s="43" t="s">
        <v>14</v>
      </c>
      <c r="B306" s="217"/>
      <c r="C306" s="217"/>
      <c r="D306" s="217"/>
      <c r="E306" s="247">
        <f t="shared" ref="E306:I306" si="439">E259+E299+E304</f>
        <v>928.76490000000001</v>
      </c>
      <c r="F306" s="247">
        <f t="shared" si="439"/>
        <v>928.76490000000001</v>
      </c>
      <c r="G306" s="248">
        <f t="shared" si="439"/>
        <v>928.76490000000001</v>
      </c>
      <c r="H306" s="247">
        <f t="shared" si="439"/>
        <v>928.76490000000001</v>
      </c>
      <c r="I306" s="247">
        <f t="shared" si="439"/>
        <v>928.76490000000001</v>
      </c>
      <c r="J306" s="247">
        <f t="shared" ref="J306:P306" si="440">J259+J299+J304</f>
        <v>928.76490000000001</v>
      </c>
      <c r="K306" s="247">
        <f t="shared" si="440"/>
        <v>928.76490000000001</v>
      </c>
      <c r="L306" s="247">
        <f t="shared" si="440"/>
        <v>928.76490000000001</v>
      </c>
      <c r="M306" s="247">
        <f t="shared" si="440"/>
        <v>928.76490000000001</v>
      </c>
      <c r="N306" s="247">
        <f t="shared" si="440"/>
        <v>928.76490000000001</v>
      </c>
      <c r="O306" s="247">
        <f t="shared" si="440"/>
        <v>928.76490000000001</v>
      </c>
      <c r="P306" s="247">
        <f t="shared" si="440"/>
        <v>928.76490000000001</v>
      </c>
    </row>
    <row r="307" spans="1:16" ht="12.75" customHeight="1" thickBot="1" x14ac:dyDescent="0.3">
      <c r="A307" s="75"/>
      <c r="B307" s="7"/>
      <c r="C307" s="7"/>
      <c r="D307" s="7"/>
      <c r="E307" s="7"/>
      <c r="F307" s="7"/>
      <c r="G307" s="152"/>
      <c r="H307" s="7"/>
      <c r="I307" s="7"/>
      <c r="J307" s="7"/>
      <c r="K307" s="7"/>
      <c r="L307" s="7"/>
      <c r="M307" s="7"/>
      <c r="N307" s="7"/>
      <c r="O307" s="7"/>
      <c r="P307" s="7"/>
    </row>
    <row r="308" spans="1:16" ht="12.75" customHeight="1" x14ac:dyDescent="0.25">
      <c r="G308" s="341"/>
    </row>
    <row r="310" spans="1:16" ht="12.75" customHeight="1" x14ac:dyDescent="0.25">
      <c r="A310" s="29" t="s">
        <v>3</v>
      </c>
      <c r="B310" s="29"/>
      <c r="C310" s="41"/>
      <c r="D310" s="41"/>
    </row>
    <row r="311" spans="1:16" ht="12.75" customHeight="1" x14ac:dyDescent="0.25">
      <c r="A311" s="29" t="s">
        <v>197</v>
      </c>
      <c r="B311" s="29"/>
      <c r="C311" s="41"/>
      <c r="D311" s="41"/>
    </row>
    <row r="312" spans="1:16" ht="12.75" customHeight="1" x14ac:dyDescent="0.25">
      <c r="A312" s="29" t="s">
        <v>55</v>
      </c>
      <c r="B312" s="29"/>
      <c r="C312" s="41"/>
      <c r="D312" s="41"/>
    </row>
    <row r="313" spans="1:16" ht="12.75" customHeight="1" thickBot="1" x14ac:dyDescent="0.3">
      <c r="A313" s="78" t="s">
        <v>428</v>
      </c>
      <c r="B313" s="21"/>
      <c r="C313" s="7"/>
      <c r="D313" s="7"/>
      <c r="E313" s="7"/>
      <c r="F313" s="7"/>
      <c r="G313" s="7"/>
      <c r="H313" s="7"/>
      <c r="I313" s="7"/>
      <c r="J313" s="7"/>
      <c r="K313" s="7"/>
      <c r="L313" s="7"/>
      <c r="M313" s="7"/>
      <c r="N313" s="7"/>
      <c r="O313" s="7"/>
      <c r="P313" s="7"/>
    </row>
    <row r="314" spans="1:16" ht="12.75" customHeight="1" x14ac:dyDescent="0.25">
      <c r="A314" s="646" t="s">
        <v>215</v>
      </c>
      <c r="B314" s="646"/>
      <c r="C314" s="646"/>
      <c r="D314" s="646"/>
      <c r="E314" s="215">
        <f>Sum!E$5</f>
        <v>2023</v>
      </c>
      <c r="F314" s="215">
        <f>Sum!F$5</f>
        <v>2024</v>
      </c>
      <c r="G314" s="216">
        <f>Sum!G$5</f>
        <v>2025</v>
      </c>
      <c r="H314" s="215">
        <f>Sum!H$5</f>
        <v>2026</v>
      </c>
      <c r="I314" s="215">
        <f>Sum!I$5</f>
        <v>2027</v>
      </c>
      <c r="J314" s="215">
        <f>Sum!J$5</f>
        <v>2028</v>
      </c>
      <c r="K314" s="215">
        <f>Sum!K$5</f>
        <v>2029</v>
      </c>
      <c r="L314" s="215">
        <f>Sum!L$5</f>
        <v>2030</v>
      </c>
      <c r="M314" s="215">
        <f>Sum!M$5</f>
        <v>2031</v>
      </c>
      <c r="N314" s="215">
        <f>Sum!N$5</f>
        <v>2032</v>
      </c>
      <c r="O314" s="215">
        <f>Sum!O$5</f>
        <v>2033</v>
      </c>
      <c r="P314" s="215">
        <f>Sum!P$5</f>
        <v>2034</v>
      </c>
    </row>
    <row r="315" spans="1:16" ht="12.75" customHeight="1" x14ac:dyDescent="0.25">
      <c r="A315" s="16"/>
      <c r="B315" s="16"/>
      <c r="C315" s="16"/>
      <c r="D315" s="16"/>
      <c r="E315" s="120"/>
      <c r="F315" s="120"/>
      <c r="G315" s="178"/>
      <c r="H315" s="120"/>
      <c r="I315" s="120"/>
      <c r="J315" s="120"/>
      <c r="K315" s="120"/>
      <c r="L315" s="120"/>
      <c r="M315" s="120"/>
      <c r="N315" s="120"/>
      <c r="O315" s="120"/>
      <c r="P315" s="120"/>
    </row>
    <row r="316" spans="1:16" ht="12.75" customHeight="1" x14ac:dyDescent="0.25">
      <c r="A316" s="72" t="s">
        <v>196</v>
      </c>
      <c r="G316" s="151"/>
    </row>
    <row r="317" spans="1:16" ht="12.75" customHeight="1" x14ac:dyDescent="0.25">
      <c r="A317" s="3"/>
      <c r="B317" s="72" t="s">
        <v>204</v>
      </c>
      <c r="G317" s="151"/>
    </row>
    <row r="318" spans="1:16" ht="12.75" customHeight="1" x14ac:dyDescent="0.25">
      <c r="B318" s="110" t="s">
        <v>216</v>
      </c>
      <c r="C318" s="108"/>
      <c r="D318" s="108"/>
      <c r="G318" s="151"/>
    </row>
    <row r="319" spans="1:16" ht="12.75" customHeight="1" x14ac:dyDescent="0.25">
      <c r="B319" s="134"/>
      <c r="C319" s="108" t="s">
        <v>206</v>
      </c>
      <c r="D319" s="108"/>
      <c r="E319" s="626">
        <f>E9</f>
        <v>5701.5</v>
      </c>
      <c r="F319" s="365">
        <f>E319*(1+F$98)</f>
        <v>5701.5</v>
      </c>
      <c r="G319" s="194">
        <f t="shared" ref="G319:I319" si="441">F319*(1+G$98)</f>
        <v>5701.5</v>
      </c>
      <c r="H319" s="135">
        <f t="shared" si="441"/>
        <v>5701.5</v>
      </c>
      <c r="I319" s="135">
        <f t="shared" si="441"/>
        <v>5701.5</v>
      </c>
      <c r="J319" s="135">
        <f t="shared" ref="J319:J327" si="442">I319*(1+J$98)</f>
        <v>5701.5</v>
      </c>
      <c r="K319" s="135">
        <f t="shared" ref="K319:K327" si="443">J319*(1+K$98)</f>
        <v>5701.5</v>
      </c>
      <c r="L319" s="135">
        <f t="shared" ref="L319:L327" si="444">K319*(1+L$98)</f>
        <v>5701.5</v>
      </c>
      <c r="M319" s="135">
        <f t="shared" ref="M319:M327" si="445">L319*(1+M$98)</f>
        <v>5701.5</v>
      </c>
      <c r="N319" s="135">
        <f t="shared" ref="N319:N327" si="446">M319*(1+N$98)</f>
        <v>5701.5</v>
      </c>
      <c r="O319" s="135">
        <f t="shared" ref="O319:O327" si="447">N319*(1+O$98)</f>
        <v>5701.5</v>
      </c>
      <c r="P319" s="135">
        <f t="shared" ref="P319:P327" si="448">O319*(1+P$98)</f>
        <v>5701.5</v>
      </c>
    </row>
    <row r="320" spans="1:16" ht="12.75" customHeight="1" x14ac:dyDescent="0.25">
      <c r="B320" s="134"/>
      <c r="C320" s="108" t="s">
        <v>214</v>
      </c>
      <c r="D320" s="108"/>
      <c r="E320" s="626">
        <v>0</v>
      </c>
      <c r="F320" s="365">
        <f t="shared" ref="F320:I320" si="449">E320*(1+F$98)</f>
        <v>0</v>
      </c>
      <c r="G320" s="194">
        <f t="shared" si="449"/>
        <v>0</v>
      </c>
      <c r="H320" s="135">
        <f t="shared" si="449"/>
        <v>0</v>
      </c>
      <c r="I320" s="135">
        <f t="shared" si="449"/>
        <v>0</v>
      </c>
      <c r="J320" s="135">
        <f t="shared" si="442"/>
        <v>0</v>
      </c>
      <c r="K320" s="135">
        <f t="shared" si="443"/>
        <v>0</v>
      </c>
      <c r="L320" s="135">
        <f t="shared" si="444"/>
        <v>0</v>
      </c>
      <c r="M320" s="135">
        <f t="shared" si="445"/>
        <v>0</v>
      </c>
      <c r="N320" s="135">
        <f t="shared" si="446"/>
        <v>0</v>
      </c>
      <c r="O320" s="135">
        <f t="shared" si="447"/>
        <v>0</v>
      </c>
      <c r="P320" s="135">
        <f t="shared" si="448"/>
        <v>0</v>
      </c>
    </row>
    <row r="321" spans="1:16" ht="12.75" customHeight="1" x14ac:dyDescent="0.25">
      <c r="B321" s="134"/>
      <c r="C321" s="108" t="s">
        <v>207</v>
      </c>
      <c r="D321" s="108"/>
      <c r="E321" s="626">
        <v>0</v>
      </c>
      <c r="F321" s="365">
        <f t="shared" ref="F321:I321" si="450">E321*(1+F$98)</f>
        <v>0</v>
      </c>
      <c r="G321" s="194">
        <f t="shared" si="450"/>
        <v>0</v>
      </c>
      <c r="H321" s="135">
        <f t="shared" si="450"/>
        <v>0</v>
      </c>
      <c r="I321" s="135">
        <f t="shared" si="450"/>
        <v>0</v>
      </c>
      <c r="J321" s="135">
        <f t="shared" si="442"/>
        <v>0</v>
      </c>
      <c r="K321" s="135">
        <f t="shared" si="443"/>
        <v>0</v>
      </c>
      <c r="L321" s="135">
        <f t="shared" si="444"/>
        <v>0</v>
      </c>
      <c r="M321" s="135">
        <f t="shared" si="445"/>
        <v>0</v>
      </c>
      <c r="N321" s="135">
        <f t="shared" si="446"/>
        <v>0</v>
      </c>
      <c r="O321" s="135">
        <f t="shared" si="447"/>
        <v>0</v>
      </c>
      <c r="P321" s="135">
        <f t="shared" si="448"/>
        <v>0</v>
      </c>
    </row>
    <row r="322" spans="1:16" ht="12.75" customHeight="1" x14ac:dyDescent="0.25">
      <c r="B322" s="134"/>
      <c r="C322" s="108" t="s">
        <v>208</v>
      </c>
      <c r="D322" s="108"/>
      <c r="E322" s="626">
        <v>0</v>
      </c>
      <c r="F322" s="365">
        <f t="shared" ref="F322:I322" si="451">E322*(1+F$98)</f>
        <v>0</v>
      </c>
      <c r="G322" s="194">
        <f t="shared" si="451"/>
        <v>0</v>
      </c>
      <c r="H322" s="135">
        <f t="shared" si="451"/>
        <v>0</v>
      </c>
      <c r="I322" s="135">
        <f t="shared" si="451"/>
        <v>0</v>
      </c>
      <c r="J322" s="135">
        <f t="shared" si="442"/>
        <v>0</v>
      </c>
      <c r="K322" s="135">
        <f t="shared" si="443"/>
        <v>0</v>
      </c>
      <c r="L322" s="135">
        <f t="shared" si="444"/>
        <v>0</v>
      </c>
      <c r="M322" s="135">
        <f t="shared" si="445"/>
        <v>0</v>
      </c>
      <c r="N322" s="135">
        <f t="shared" si="446"/>
        <v>0</v>
      </c>
      <c r="O322" s="135">
        <f t="shared" si="447"/>
        <v>0</v>
      </c>
      <c r="P322" s="135">
        <f t="shared" si="448"/>
        <v>0</v>
      </c>
    </row>
    <row r="323" spans="1:16" ht="12.75" customHeight="1" x14ac:dyDescent="0.25">
      <c r="B323" s="134"/>
      <c r="C323" s="108" t="s">
        <v>209</v>
      </c>
      <c r="D323" s="108"/>
      <c r="E323" s="626">
        <v>0</v>
      </c>
      <c r="F323" s="365">
        <f t="shared" ref="F323:I323" si="452">E323*(1+F$98)</f>
        <v>0</v>
      </c>
      <c r="G323" s="194">
        <f t="shared" si="452"/>
        <v>0</v>
      </c>
      <c r="H323" s="135">
        <f t="shared" si="452"/>
        <v>0</v>
      </c>
      <c r="I323" s="135">
        <f t="shared" si="452"/>
        <v>0</v>
      </c>
      <c r="J323" s="135">
        <f t="shared" si="442"/>
        <v>0</v>
      </c>
      <c r="K323" s="135">
        <f t="shared" si="443"/>
        <v>0</v>
      </c>
      <c r="L323" s="135">
        <f t="shared" si="444"/>
        <v>0</v>
      </c>
      <c r="M323" s="135">
        <f t="shared" si="445"/>
        <v>0</v>
      </c>
      <c r="N323" s="135">
        <f t="shared" si="446"/>
        <v>0</v>
      </c>
      <c r="O323" s="135">
        <f t="shared" si="447"/>
        <v>0</v>
      </c>
      <c r="P323" s="135">
        <f t="shared" si="448"/>
        <v>0</v>
      </c>
    </row>
    <row r="324" spans="1:16" ht="12.75" customHeight="1" x14ac:dyDescent="0.25">
      <c r="B324" s="134"/>
      <c r="C324" s="108" t="s">
        <v>210</v>
      </c>
      <c r="D324" s="108"/>
      <c r="E324" s="626">
        <v>0</v>
      </c>
      <c r="F324" s="365">
        <f t="shared" ref="F324:I324" si="453">E324*(1+F$98)</f>
        <v>0</v>
      </c>
      <c r="G324" s="194">
        <f t="shared" si="453"/>
        <v>0</v>
      </c>
      <c r="H324" s="135">
        <f t="shared" si="453"/>
        <v>0</v>
      </c>
      <c r="I324" s="135">
        <f t="shared" si="453"/>
        <v>0</v>
      </c>
      <c r="J324" s="135">
        <f t="shared" si="442"/>
        <v>0</v>
      </c>
      <c r="K324" s="135">
        <f t="shared" si="443"/>
        <v>0</v>
      </c>
      <c r="L324" s="135">
        <f t="shared" si="444"/>
        <v>0</v>
      </c>
      <c r="M324" s="135">
        <f t="shared" si="445"/>
        <v>0</v>
      </c>
      <c r="N324" s="135">
        <f t="shared" si="446"/>
        <v>0</v>
      </c>
      <c r="O324" s="135">
        <f t="shared" si="447"/>
        <v>0</v>
      </c>
      <c r="P324" s="135">
        <f t="shared" si="448"/>
        <v>0</v>
      </c>
    </row>
    <row r="325" spans="1:16" ht="12.75" customHeight="1" x14ac:dyDescent="0.25">
      <c r="B325" s="134"/>
      <c r="C325" s="108" t="s">
        <v>211</v>
      </c>
      <c r="D325" s="108"/>
      <c r="E325" s="626">
        <v>0</v>
      </c>
      <c r="F325" s="365">
        <f t="shared" ref="F325:I325" si="454">E325*(1+F$98)</f>
        <v>0</v>
      </c>
      <c r="G325" s="194">
        <f t="shared" si="454"/>
        <v>0</v>
      </c>
      <c r="H325" s="135">
        <f t="shared" si="454"/>
        <v>0</v>
      </c>
      <c r="I325" s="135">
        <f t="shared" si="454"/>
        <v>0</v>
      </c>
      <c r="J325" s="135">
        <f t="shared" si="442"/>
        <v>0</v>
      </c>
      <c r="K325" s="135">
        <f t="shared" si="443"/>
        <v>0</v>
      </c>
      <c r="L325" s="135">
        <f t="shared" si="444"/>
        <v>0</v>
      </c>
      <c r="M325" s="135">
        <f t="shared" si="445"/>
        <v>0</v>
      </c>
      <c r="N325" s="135">
        <f t="shared" si="446"/>
        <v>0</v>
      </c>
      <c r="O325" s="135">
        <f t="shared" si="447"/>
        <v>0</v>
      </c>
      <c r="P325" s="135">
        <f t="shared" si="448"/>
        <v>0</v>
      </c>
    </row>
    <row r="326" spans="1:16" ht="12.75" customHeight="1" x14ac:dyDescent="0.25">
      <c r="B326" s="134"/>
      <c r="C326" s="108" t="s">
        <v>212</v>
      </c>
      <c r="D326" s="108"/>
      <c r="E326" s="626">
        <v>0</v>
      </c>
      <c r="F326" s="365">
        <f t="shared" ref="F326:I326" si="455">E326*(1+F$98)</f>
        <v>0</v>
      </c>
      <c r="G326" s="194">
        <f t="shared" si="455"/>
        <v>0</v>
      </c>
      <c r="H326" s="135">
        <f t="shared" si="455"/>
        <v>0</v>
      </c>
      <c r="I326" s="135">
        <f t="shared" si="455"/>
        <v>0</v>
      </c>
      <c r="J326" s="135">
        <f t="shared" si="442"/>
        <v>0</v>
      </c>
      <c r="K326" s="135">
        <f t="shared" si="443"/>
        <v>0</v>
      </c>
      <c r="L326" s="135">
        <f t="shared" si="444"/>
        <v>0</v>
      </c>
      <c r="M326" s="135">
        <f t="shared" si="445"/>
        <v>0</v>
      </c>
      <c r="N326" s="135">
        <f t="shared" si="446"/>
        <v>0</v>
      </c>
      <c r="O326" s="135">
        <f t="shared" si="447"/>
        <v>0</v>
      </c>
      <c r="P326" s="135">
        <f t="shared" si="448"/>
        <v>0</v>
      </c>
    </row>
    <row r="327" spans="1:16" ht="12.75" customHeight="1" x14ac:dyDescent="0.25">
      <c r="A327" s="73"/>
      <c r="B327" s="133"/>
      <c r="C327" s="136" t="s">
        <v>213</v>
      </c>
      <c r="D327" s="136"/>
      <c r="E327" s="627">
        <v>0</v>
      </c>
      <c r="F327" s="367">
        <f t="shared" ref="F327:I327" si="456">E327*(1+F$98)</f>
        <v>0</v>
      </c>
      <c r="G327" s="195">
        <f t="shared" si="456"/>
        <v>0</v>
      </c>
      <c r="H327" s="132">
        <f t="shared" si="456"/>
        <v>0</v>
      </c>
      <c r="I327" s="132">
        <f t="shared" si="456"/>
        <v>0</v>
      </c>
      <c r="J327" s="132">
        <f t="shared" si="442"/>
        <v>0</v>
      </c>
      <c r="K327" s="132">
        <f t="shared" si="443"/>
        <v>0</v>
      </c>
      <c r="L327" s="132">
        <f t="shared" si="444"/>
        <v>0</v>
      </c>
      <c r="M327" s="132">
        <f t="shared" si="445"/>
        <v>0</v>
      </c>
      <c r="N327" s="132">
        <f t="shared" si="446"/>
        <v>0</v>
      </c>
      <c r="O327" s="132">
        <f t="shared" si="447"/>
        <v>0</v>
      </c>
      <c r="P327" s="132">
        <f t="shared" si="448"/>
        <v>0</v>
      </c>
    </row>
    <row r="328" spans="1:16" ht="12.75" customHeight="1" x14ac:dyDescent="0.25">
      <c r="B328" s="134"/>
      <c r="C328" s="108" t="s">
        <v>219</v>
      </c>
      <c r="D328" s="108"/>
      <c r="E328" s="135">
        <f t="shared" ref="E328:I328" si="457">SUM(E319:E327)</f>
        <v>5701.5</v>
      </c>
      <c r="F328" s="135">
        <f t="shared" si="457"/>
        <v>5701.5</v>
      </c>
      <c r="G328" s="194">
        <f t="shared" si="457"/>
        <v>5701.5</v>
      </c>
      <c r="H328" s="135">
        <f t="shared" si="457"/>
        <v>5701.5</v>
      </c>
      <c r="I328" s="135">
        <f t="shared" si="457"/>
        <v>5701.5</v>
      </c>
      <c r="J328" s="135">
        <f t="shared" ref="J328:P328" si="458">SUM(J319:J327)</f>
        <v>5701.5</v>
      </c>
      <c r="K328" s="135">
        <f t="shared" si="458"/>
        <v>5701.5</v>
      </c>
      <c r="L328" s="135">
        <f t="shared" si="458"/>
        <v>5701.5</v>
      </c>
      <c r="M328" s="135">
        <f t="shared" si="458"/>
        <v>5701.5</v>
      </c>
      <c r="N328" s="135">
        <f t="shared" si="458"/>
        <v>5701.5</v>
      </c>
      <c r="O328" s="135">
        <f t="shared" si="458"/>
        <v>5701.5</v>
      </c>
      <c r="P328" s="135">
        <f t="shared" si="458"/>
        <v>5701.5</v>
      </c>
    </row>
    <row r="329" spans="1:16" ht="12.75" customHeight="1" x14ac:dyDescent="0.25">
      <c r="B329" s="134"/>
      <c r="C329" s="108"/>
      <c r="D329" s="108"/>
      <c r="E329" s="135"/>
      <c r="F329" s="135"/>
      <c r="G329" s="194"/>
      <c r="H329" s="135"/>
      <c r="I329" s="135"/>
      <c r="J329" s="135"/>
      <c r="K329" s="135"/>
      <c r="L329" s="135"/>
      <c r="M329" s="135"/>
      <c r="N329" s="135"/>
      <c r="O329" s="135"/>
      <c r="P329" s="135"/>
    </row>
    <row r="330" spans="1:16" ht="12.75" customHeight="1" x14ac:dyDescent="0.25">
      <c r="B330" s="110" t="s">
        <v>343</v>
      </c>
      <c r="C330" s="108"/>
      <c r="D330" s="108"/>
      <c r="E330" s="25"/>
      <c r="F330" s="25"/>
      <c r="G330" s="182"/>
      <c r="H330" s="25"/>
      <c r="I330" s="25"/>
      <c r="J330" s="25"/>
      <c r="K330" s="25"/>
      <c r="L330" s="25"/>
      <c r="M330" s="25"/>
      <c r="N330" s="25"/>
      <c r="O330" s="25"/>
      <c r="P330" s="25"/>
    </row>
    <row r="331" spans="1:16" ht="12.75" customHeight="1" x14ac:dyDescent="0.25">
      <c r="B331" s="134"/>
      <c r="C331" s="108" t="s">
        <v>206</v>
      </c>
      <c r="D331" s="108"/>
      <c r="E331" s="626">
        <f>E10</f>
        <v>1391</v>
      </c>
      <c r="F331" s="365">
        <f>E331*(1+F$99)</f>
        <v>1391</v>
      </c>
      <c r="G331" s="194">
        <f t="shared" ref="G331:I331" si="459">F331*(1+G$99)</f>
        <v>1391</v>
      </c>
      <c r="H331" s="135">
        <f t="shared" si="459"/>
        <v>1391</v>
      </c>
      <c r="I331" s="135">
        <f t="shared" si="459"/>
        <v>1391</v>
      </c>
      <c r="J331" s="135">
        <f t="shared" ref="J331:J339" si="460">I331*(1+J$99)</f>
        <v>1391</v>
      </c>
      <c r="K331" s="135">
        <f t="shared" ref="K331:K339" si="461">J331*(1+K$99)</f>
        <v>1391</v>
      </c>
      <c r="L331" s="135">
        <f t="shared" ref="L331:L339" si="462">K331*(1+L$99)</f>
        <v>1391</v>
      </c>
      <c r="M331" s="135">
        <f t="shared" ref="M331:M339" si="463">L331*(1+M$99)</f>
        <v>1391</v>
      </c>
      <c r="N331" s="135">
        <f t="shared" ref="N331:N339" si="464">M331*(1+N$99)</f>
        <v>1391</v>
      </c>
      <c r="O331" s="135">
        <f t="shared" ref="O331:O339" si="465">N331*(1+O$99)</f>
        <v>1391</v>
      </c>
      <c r="P331" s="135">
        <f t="shared" ref="P331:P339" si="466">O331*(1+P$99)</f>
        <v>1391</v>
      </c>
    </row>
    <row r="332" spans="1:16" ht="12.75" customHeight="1" x14ac:dyDescent="0.25">
      <c r="B332" s="134"/>
      <c r="C332" s="108" t="s">
        <v>214</v>
      </c>
      <c r="D332" s="108"/>
      <c r="E332" s="626">
        <v>0</v>
      </c>
      <c r="F332" s="365">
        <f t="shared" ref="F332:I332" si="467">E332*(1+F$99)</f>
        <v>0</v>
      </c>
      <c r="G332" s="194">
        <f t="shared" si="467"/>
        <v>0</v>
      </c>
      <c r="H332" s="135">
        <f t="shared" si="467"/>
        <v>0</v>
      </c>
      <c r="I332" s="135">
        <f t="shared" si="467"/>
        <v>0</v>
      </c>
      <c r="J332" s="135">
        <f t="shared" si="460"/>
        <v>0</v>
      </c>
      <c r="K332" s="135">
        <f t="shared" si="461"/>
        <v>0</v>
      </c>
      <c r="L332" s="135">
        <f t="shared" si="462"/>
        <v>0</v>
      </c>
      <c r="M332" s="135">
        <f t="shared" si="463"/>
        <v>0</v>
      </c>
      <c r="N332" s="135">
        <f t="shared" si="464"/>
        <v>0</v>
      </c>
      <c r="O332" s="135">
        <f t="shared" si="465"/>
        <v>0</v>
      </c>
      <c r="P332" s="135">
        <f t="shared" si="466"/>
        <v>0</v>
      </c>
    </row>
    <row r="333" spans="1:16" ht="12.75" customHeight="1" x14ac:dyDescent="0.25">
      <c r="B333" s="134"/>
      <c r="C333" s="108" t="s">
        <v>207</v>
      </c>
      <c r="D333" s="108"/>
      <c r="E333" s="626">
        <v>0</v>
      </c>
      <c r="F333" s="365">
        <f t="shared" ref="F333:I333" si="468">E333*(1+F$99)</f>
        <v>0</v>
      </c>
      <c r="G333" s="194">
        <f t="shared" si="468"/>
        <v>0</v>
      </c>
      <c r="H333" s="135">
        <f t="shared" si="468"/>
        <v>0</v>
      </c>
      <c r="I333" s="135">
        <f t="shared" si="468"/>
        <v>0</v>
      </c>
      <c r="J333" s="135">
        <f t="shared" si="460"/>
        <v>0</v>
      </c>
      <c r="K333" s="135">
        <f t="shared" si="461"/>
        <v>0</v>
      </c>
      <c r="L333" s="135">
        <f t="shared" si="462"/>
        <v>0</v>
      </c>
      <c r="M333" s="135">
        <f t="shared" si="463"/>
        <v>0</v>
      </c>
      <c r="N333" s="135">
        <f t="shared" si="464"/>
        <v>0</v>
      </c>
      <c r="O333" s="135">
        <f t="shared" si="465"/>
        <v>0</v>
      </c>
      <c r="P333" s="135">
        <f t="shared" si="466"/>
        <v>0</v>
      </c>
    </row>
    <row r="334" spans="1:16" ht="12.75" customHeight="1" x14ac:dyDescent="0.25">
      <c r="B334" s="134"/>
      <c r="C334" s="108" t="s">
        <v>208</v>
      </c>
      <c r="D334" s="108"/>
      <c r="E334" s="626">
        <v>0</v>
      </c>
      <c r="F334" s="365">
        <f t="shared" ref="F334:I334" si="469">E334*(1+F$99)</f>
        <v>0</v>
      </c>
      <c r="G334" s="194">
        <f t="shared" si="469"/>
        <v>0</v>
      </c>
      <c r="H334" s="135">
        <f t="shared" si="469"/>
        <v>0</v>
      </c>
      <c r="I334" s="135">
        <f t="shared" si="469"/>
        <v>0</v>
      </c>
      <c r="J334" s="135">
        <f t="shared" si="460"/>
        <v>0</v>
      </c>
      <c r="K334" s="135">
        <f t="shared" si="461"/>
        <v>0</v>
      </c>
      <c r="L334" s="135">
        <f t="shared" si="462"/>
        <v>0</v>
      </c>
      <c r="M334" s="135">
        <f t="shared" si="463"/>
        <v>0</v>
      </c>
      <c r="N334" s="135">
        <f t="shared" si="464"/>
        <v>0</v>
      </c>
      <c r="O334" s="135">
        <f t="shared" si="465"/>
        <v>0</v>
      </c>
      <c r="P334" s="135">
        <f t="shared" si="466"/>
        <v>0</v>
      </c>
    </row>
    <row r="335" spans="1:16" ht="12.75" customHeight="1" x14ac:dyDescent="0.25">
      <c r="B335" s="134"/>
      <c r="C335" s="108" t="s">
        <v>209</v>
      </c>
      <c r="D335" s="108"/>
      <c r="E335" s="626">
        <v>0</v>
      </c>
      <c r="F335" s="365">
        <f t="shared" ref="F335:I335" si="470">E335*(1+F$99)</f>
        <v>0</v>
      </c>
      <c r="G335" s="194">
        <f t="shared" si="470"/>
        <v>0</v>
      </c>
      <c r="H335" s="135">
        <f t="shared" si="470"/>
        <v>0</v>
      </c>
      <c r="I335" s="135">
        <f t="shared" si="470"/>
        <v>0</v>
      </c>
      <c r="J335" s="135">
        <f t="shared" si="460"/>
        <v>0</v>
      </c>
      <c r="K335" s="135">
        <f t="shared" si="461"/>
        <v>0</v>
      </c>
      <c r="L335" s="135">
        <f t="shared" si="462"/>
        <v>0</v>
      </c>
      <c r="M335" s="135">
        <f t="shared" si="463"/>
        <v>0</v>
      </c>
      <c r="N335" s="135">
        <f t="shared" si="464"/>
        <v>0</v>
      </c>
      <c r="O335" s="135">
        <f t="shared" si="465"/>
        <v>0</v>
      </c>
      <c r="P335" s="135">
        <f t="shared" si="466"/>
        <v>0</v>
      </c>
    </row>
    <row r="336" spans="1:16" ht="12.75" customHeight="1" x14ac:dyDescent="0.25">
      <c r="B336" s="134"/>
      <c r="C336" s="108" t="s">
        <v>210</v>
      </c>
      <c r="D336" s="108"/>
      <c r="E336" s="626">
        <v>0</v>
      </c>
      <c r="F336" s="365">
        <f t="shared" ref="F336:I336" si="471">E336*(1+F$99)</f>
        <v>0</v>
      </c>
      <c r="G336" s="194">
        <f t="shared" si="471"/>
        <v>0</v>
      </c>
      <c r="H336" s="135">
        <f t="shared" si="471"/>
        <v>0</v>
      </c>
      <c r="I336" s="135">
        <f t="shared" si="471"/>
        <v>0</v>
      </c>
      <c r="J336" s="135">
        <f t="shared" si="460"/>
        <v>0</v>
      </c>
      <c r="K336" s="135">
        <f t="shared" si="461"/>
        <v>0</v>
      </c>
      <c r="L336" s="135">
        <f t="shared" si="462"/>
        <v>0</v>
      </c>
      <c r="M336" s="135">
        <f t="shared" si="463"/>
        <v>0</v>
      </c>
      <c r="N336" s="135">
        <f t="shared" si="464"/>
        <v>0</v>
      </c>
      <c r="O336" s="135">
        <f t="shared" si="465"/>
        <v>0</v>
      </c>
      <c r="P336" s="135">
        <f t="shared" si="466"/>
        <v>0</v>
      </c>
    </row>
    <row r="337" spans="1:16" ht="12.75" customHeight="1" x14ac:dyDescent="0.25">
      <c r="B337" s="134"/>
      <c r="C337" s="108" t="s">
        <v>211</v>
      </c>
      <c r="D337" s="108"/>
      <c r="E337" s="626">
        <v>0</v>
      </c>
      <c r="F337" s="365">
        <f t="shared" ref="F337:I337" si="472">E337*(1+F$99)</f>
        <v>0</v>
      </c>
      <c r="G337" s="194">
        <f t="shared" si="472"/>
        <v>0</v>
      </c>
      <c r="H337" s="135">
        <f t="shared" si="472"/>
        <v>0</v>
      </c>
      <c r="I337" s="135">
        <f t="shared" si="472"/>
        <v>0</v>
      </c>
      <c r="J337" s="135">
        <f t="shared" si="460"/>
        <v>0</v>
      </c>
      <c r="K337" s="135">
        <f t="shared" si="461"/>
        <v>0</v>
      </c>
      <c r="L337" s="135">
        <f t="shared" si="462"/>
        <v>0</v>
      </c>
      <c r="M337" s="135">
        <f t="shared" si="463"/>
        <v>0</v>
      </c>
      <c r="N337" s="135">
        <f t="shared" si="464"/>
        <v>0</v>
      </c>
      <c r="O337" s="135">
        <f t="shared" si="465"/>
        <v>0</v>
      </c>
      <c r="P337" s="135">
        <f t="shared" si="466"/>
        <v>0</v>
      </c>
    </row>
    <row r="338" spans="1:16" ht="12.75" customHeight="1" x14ac:dyDescent="0.25">
      <c r="B338" s="134"/>
      <c r="C338" s="108" t="s">
        <v>212</v>
      </c>
      <c r="D338" s="108"/>
      <c r="E338" s="626">
        <v>0</v>
      </c>
      <c r="F338" s="365">
        <f t="shared" ref="F338:I338" si="473">E338*(1+F$99)</f>
        <v>0</v>
      </c>
      <c r="G338" s="194">
        <f t="shared" si="473"/>
        <v>0</v>
      </c>
      <c r="H338" s="135">
        <f t="shared" si="473"/>
        <v>0</v>
      </c>
      <c r="I338" s="135">
        <f t="shared" si="473"/>
        <v>0</v>
      </c>
      <c r="J338" s="135">
        <f t="shared" si="460"/>
        <v>0</v>
      </c>
      <c r="K338" s="135">
        <f t="shared" si="461"/>
        <v>0</v>
      </c>
      <c r="L338" s="135">
        <f t="shared" si="462"/>
        <v>0</v>
      </c>
      <c r="M338" s="135">
        <f t="shared" si="463"/>
        <v>0</v>
      </c>
      <c r="N338" s="135">
        <f t="shared" si="464"/>
        <v>0</v>
      </c>
      <c r="O338" s="135">
        <f t="shared" si="465"/>
        <v>0</v>
      </c>
      <c r="P338" s="135">
        <f t="shared" si="466"/>
        <v>0</v>
      </c>
    </row>
    <row r="339" spans="1:16" ht="12.75" customHeight="1" x14ac:dyDescent="0.25">
      <c r="A339" s="73"/>
      <c r="B339" s="133"/>
      <c r="C339" s="136" t="s">
        <v>213</v>
      </c>
      <c r="D339" s="136"/>
      <c r="E339" s="627"/>
      <c r="F339" s="367">
        <f t="shared" ref="F339:I339" si="474">E339*(1+F$99)</f>
        <v>0</v>
      </c>
      <c r="G339" s="195">
        <f t="shared" si="474"/>
        <v>0</v>
      </c>
      <c r="H339" s="132">
        <f t="shared" si="474"/>
        <v>0</v>
      </c>
      <c r="I339" s="132">
        <f t="shared" si="474"/>
        <v>0</v>
      </c>
      <c r="J339" s="132">
        <f t="shared" si="460"/>
        <v>0</v>
      </c>
      <c r="K339" s="132">
        <f t="shared" si="461"/>
        <v>0</v>
      </c>
      <c r="L339" s="132">
        <f t="shared" si="462"/>
        <v>0</v>
      </c>
      <c r="M339" s="132">
        <f t="shared" si="463"/>
        <v>0</v>
      </c>
      <c r="N339" s="132">
        <f t="shared" si="464"/>
        <v>0</v>
      </c>
      <c r="O339" s="132">
        <f t="shared" si="465"/>
        <v>0</v>
      </c>
      <c r="P339" s="132">
        <f t="shared" si="466"/>
        <v>0</v>
      </c>
    </row>
    <row r="340" spans="1:16" ht="12.75" customHeight="1" x14ac:dyDescent="0.25">
      <c r="B340" s="134"/>
      <c r="C340" s="108" t="s">
        <v>219</v>
      </c>
      <c r="D340" s="108"/>
      <c r="E340" s="135">
        <f t="shared" ref="E340:I340" si="475">SUM(E331:E339)</f>
        <v>1391</v>
      </c>
      <c r="F340" s="135">
        <f t="shared" si="475"/>
        <v>1391</v>
      </c>
      <c r="G340" s="194">
        <f t="shared" si="475"/>
        <v>1391</v>
      </c>
      <c r="H340" s="135">
        <f t="shared" si="475"/>
        <v>1391</v>
      </c>
      <c r="I340" s="135">
        <f t="shared" si="475"/>
        <v>1391</v>
      </c>
      <c r="J340" s="135">
        <f t="shared" ref="J340:P340" si="476">SUM(J331:J339)</f>
        <v>1391</v>
      </c>
      <c r="K340" s="135">
        <f t="shared" si="476"/>
        <v>1391</v>
      </c>
      <c r="L340" s="135">
        <f t="shared" si="476"/>
        <v>1391</v>
      </c>
      <c r="M340" s="135">
        <f t="shared" si="476"/>
        <v>1391</v>
      </c>
      <c r="N340" s="135">
        <f t="shared" si="476"/>
        <v>1391</v>
      </c>
      <c r="O340" s="135">
        <f t="shared" si="476"/>
        <v>1391</v>
      </c>
      <c r="P340" s="135">
        <f t="shared" si="476"/>
        <v>1391</v>
      </c>
    </row>
    <row r="341" spans="1:16" ht="12.75" customHeight="1" x14ac:dyDescent="0.25">
      <c r="B341" s="134"/>
      <c r="C341" s="108"/>
      <c r="D341" s="108"/>
      <c r="E341" s="135"/>
      <c r="F341" s="135"/>
      <c r="G341" s="194"/>
      <c r="H341" s="135"/>
      <c r="I341" s="135"/>
      <c r="J341" s="135"/>
      <c r="K341" s="135"/>
      <c r="L341" s="135"/>
      <c r="M341" s="135"/>
      <c r="N341" s="135"/>
      <c r="O341" s="135"/>
      <c r="P341" s="135"/>
    </row>
    <row r="342" spans="1:16" ht="12.75" customHeight="1" x14ac:dyDescent="0.25">
      <c r="B342" s="110" t="s">
        <v>297</v>
      </c>
      <c r="C342" s="108"/>
      <c r="D342" s="108"/>
      <c r="E342" s="25"/>
      <c r="F342" s="25"/>
      <c r="G342" s="182"/>
      <c r="H342" s="25"/>
      <c r="I342" s="25"/>
      <c r="J342" s="25"/>
      <c r="K342" s="25"/>
      <c r="L342" s="25"/>
      <c r="M342" s="25"/>
      <c r="N342" s="25"/>
      <c r="O342" s="25"/>
      <c r="P342" s="25"/>
    </row>
    <row r="343" spans="1:16" ht="12.75" customHeight="1" x14ac:dyDescent="0.25">
      <c r="B343" s="134"/>
      <c r="C343" s="108" t="s">
        <v>206</v>
      </c>
      <c r="D343" s="108"/>
      <c r="E343" s="626">
        <v>0</v>
      </c>
      <c r="F343" s="365">
        <f>E343*(1+F$100)</f>
        <v>0</v>
      </c>
      <c r="G343" s="194">
        <f t="shared" ref="G343:I343" si="477">F343*(1+G$100)</f>
        <v>0</v>
      </c>
      <c r="H343" s="135">
        <f t="shared" si="477"/>
        <v>0</v>
      </c>
      <c r="I343" s="135">
        <f t="shared" si="477"/>
        <v>0</v>
      </c>
      <c r="J343" s="135">
        <f t="shared" ref="J343:J351" si="478">I343*(1+J$100)</f>
        <v>0</v>
      </c>
      <c r="K343" s="135">
        <f t="shared" ref="K343:K351" si="479">J343*(1+K$100)</f>
        <v>0</v>
      </c>
      <c r="L343" s="135">
        <f t="shared" ref="L343:L351" si="480">K343*(1+L$100)</f>
        <v>0</v>
      </c>
      <c r="M343" s="135">
        <f t="shared" ref="M343:M351" si="481">L343*(1+M$100)</f>
        <v>0</v>
      </c>
      <c r="N343" s="135">
        <f t="shared" ref="N343:N351" si="482">M343*(1+N$100)</f>
        <v>0</v>
      </c>
      <c r="O343" s="135">
        <f t="shared" ref="O343:O351" si="483">N343*(1+O$100)</f>
        <v>0</v>
      </c>
      <c r="P343" s="135">
        <f t="shared" ref="P343:P351" si="484">O343*(1+P$100)</f>
        <v>0</v>
      </c>
    </row>
    <row r="344" spans="1:16" ht="12.75" customHeight="1" x14ac:dyDescent="0.25">
      <c r="B344" s="134"/>
      <c r="C344" s="108" t="s">
        <v>214</v>
      </c>
      <c r="D344" s="108"/>
      <c r="E344" s="626">
        <v>0</v>
      </c>
      <c r="F344" s="365">
        <f t="shared" ref="F344:I344" si="485">E344*(1+F$100)</f>
        <v>0</v>
      </c>
      <c r="G344" s="194">
        <f t="shared" si="485"/>
        <v>0</v>
      </c>
      <c r="H344" s="135">
        <f t="shared" si="485"/>
        <v>0</v>
      </c>
      <c r="I344" s="135">
        <f t="shared" si="485"/>
        <v>0</v>
      </c>
      <c r="J344" s="135">
        <f t="shared" si="478"/>
        <v>0</v>
      </c>
      <c r="K344" s="135">
        <f t="shared" si="479"/>
        <v>0</v>
      </c>
      <c r="L344" s="135">
        <f t="shared" si="480"/>
        <v>0</v>
      </c>
      <c r="M344" s="135">
        <f t="shared" si="481"/>
        <v>0</v>
      </c>
      <c r="N344" s="135">
        <f t="shared" si="482"/>
        <v>0</v>
      </c>
      <c r="O344" s="135">
        <f t="shared" si="483"/>
        <v>0</v>
      </c>
      <c r="P344" s="135">
        <f t="shared" si="484"/>
        <v>0</v>
      </c>
    </row>
    <row r="345" spans="1:16" ht="12.75" customHeight="1" x14ac:dyDescent="0.25">
      <c r="B345" s="134"/>
      <c r="C345" s="108" t="s">
        <v>207</v>
      </c>
      <c r="D345" s="108"/>
      <c r="E345" s="626">
        <v>0</v>
      </c>
      <c r="F345" s="365">
        <f t="shared" ref="F345:I345" si="486">E345*(1+F$100)</f>
        <v>0</v>
      </c>
      <c r="G345" s="194">
        <f t="shared" si="486"/>
        <v>0</v>
      </c>
      <c r="H345" s="135">
        <f t="shared" si="486"/>
        <v>0</v>
      </c>
      <c r="I345" s="135">
        <f t="shared" si="486"/>
        <v>0</v>
      </c>
      <c r="J345" s="135">
        <f t="shared" si="478"/>
        <v>0</v>
      </c>
      <c r="K345" s="135">
        <f t="shared" si="479"/>
        <v>0</v>
      </c>
      <c r="L345" s="135">
        <f t="shared" si="480"/>
        <v>0</v>
      </c>
      <c r="M345" s="135">
        <f t="shared" si="481"/>
        <v>0</v>
      </c>
      <c r="N345" s="135">
        <f t="shared" si="482"/>
        <v>0</v>
      </c>
      <c r="O345" s="135">
        <f t="shared" si="483"/>
        <v>0</v>
      </c>
      <c r="P345" s="135">
        <f t="shared" si="484"/>
        <v>0</v>
      </c>
    </row>
    <row r="346" spans="1:16" ht="12.75" customHeight="1" x14ac:dyDescent="0.25">
      <c r="B346" s="134"/>
      <c r="C346" s="108" t="s">
        <v>208</v>
      </c>
      <c r="D346" s="108"/>
      <c r="E346" s="626">
        <v>0</v>
      </c>
      <c r="F346" s="365">
        <f t="shared" ref="F346:I346" si="487">E346*(1+F$100)</f>
        <v>0</v>
      </c>
      <c r="G346" s="194">
        <f t="shared" si="487"/>
        <v>0</v>
      </c>
      <c r="H346" s="135">
        <f t="shared" si="487"/>
        <v>0</v>
      </c>
      <c r="I346" s="135">
        <f t="shared" si="487"/>
        <v>0</v>
      </c>
      <c r="J346" s="135">
        <f t="shared" si="478"/>
        <v>0</v>
      </c>
      <c r="K346" s="135">
        <f t="shared" si="479"/>
        <v>0</v>
      </c>
      <c r="L346" s="135">
        <f t="shared" si="480"/>
        <v>0</v>
      </c>
      <c r="M346" s="135">
        <f t="shared" si="481"/>
        <v>0</v>
      </c>
      <c r="N346" s="135">
        <f t="shared" si="482"/>
        <v>0</v>
      </c>
      <c r="O346" s="135">
        <f t="shared" si="483"/>
        <v>0</v>
      </c>
      <c r="P346" s="135">
        <f t="shared" si="484"/>
        <v>0</v>
      </c>
    </row>
    <row r="347" spans="1:16" ht="12.75" customHeight="1" x14ac:dyDescent="0.25">
      <c r="B347" s="134"/>
      <c r="C347" s="108" t="s">
        <v>209</v>
      </c>
      <c r="D347" s="108"/>
      <c r="E347" s="626">
        <v>0</v>
      </c>
      <c r="F347" s="365">
        <f t="shared" ref="F347:I347" si="488">E347*(1+F$100)</f>
        <v>0</v>
      </c>
      <c r="G347" s="194">
        <f t="shared" si="488"/>
        <v>0</v>
      </c>
      <c r="H347" s="135">
        <f t="shared" si="488"/>
        <v>0</v>
      </c>
      <c r="I347" s="135">
        <f t="shared" si="488"/>
        <v>0</v>
      </c>
      <c r="J347" s="135">
        <f t="shared" si="478"/>
        <v>0</v>
      </c>
      <c r="K347" s="135">
        <f t="shared" si="479"/>
        <v>0</v>
      </c>
      <c r="L347" s="135">
        <f t="shared" si="480"/>
        <v>0</v>
      </c>
      <c r="M347" s="135">
        <f t="shared" si="481"/>
        <v>0</v>
      </c>
      <c r="N347" s="135">
        <f t="shared" si="482"/>
        <v>0</v>
      </c>
      <c r="O347" s="135">
        <f t="shared" si="483"/>
        <v>0</v>
      </c>
      <c r="P347" s="135">
        <f t="shared" si="484"/>
        <v>0</v>
      </c>
    </row>
    <row r="348" spans="1:16" ht="12.75" customHeight="1" x14ac:dyDescent="0.25">
      <c r="B348" s="134"/>
      <c r="C348" s="108" t="s">
        <v>210</v>
      </c>
      <c r="D348" s="108"/>
      <c r="E348" s="626">
        <v>0</v>
      </c>
      <c r="F348" s="365">
        <f t="shared" ref="F348:I348" si="489">E348*(1+F$100)</f>
        <v>0</v>
      </c>
      <c r="G348" s="194">
        <f t="shared" si="489"/>
        <v>0</v>
      </c>
      <c r="H348" s="135">
        <f t="shared" si="489"/>
        <v>0</v>
      </c>
      <c r="I348" s="135">
        <f t="shared" si="489"/>
        <v>0</v>
      </c>
      <c r="J348" s="135">
        <f t="shared" si="478"/>
        <v>0</v>
      </c>
      <c r="K348" s="135">
        <f t="shared" si="479"/>
        <v>0</v>
      </c>
      <c r="L348" s="135">
        <f t="shared" si="480"/>
        <v>0</v>
      </c>
      <c r="M348" s="135">
        <f t="shared" si="481"/>
        <v>0</v>
      </c>
      <c r="N348" s="135">
        <f t="shared" si="482"/>
        <v>0</v>
      </c>
      <c r="O348" s="135">
        <f t="shared" si="483"/>
        <v>0</v>
      </c>
      <c r="P348" s="135">
        <f t="shared" si="484"/>
        <v>0</v>
      </c>
    </row>
    <row r="349" spans="1:16" ht="12.75" customHeight="1" x14ac:dyDescent="0.25">
      <c r="B349" s="134"/>
      <c r="C349" s="108" t="s">
        <v>211</v>
      </c>
      <c r="D349" s="108"/>
      <c r="E349" s="626">
        <v>0</v>
      </c>
      <c r="F349" s="365">
        <f t="shared" ref="F349:I349" si="490">E349*(1+F$100)</f>
        <v>0</v>
      </c>
      <c r="G349" s="194">
        <f t="shared" si="490"/>
        <v>0</v>
      </c>
      <c r="H349" s="135">
        <f t="shared" si="490"/>
        <v>0</v>
      </c>
      <c r="I349" s="135">
        <f t="shared" si="490"/>
        <v>0</v>
      </c>
      <c r="J349" s="135">
        <f t="shared" si="478"/>
        <v>0</v>
      </c>
      <c r="K349" s="135">
        <f t="shared" si="479"/>
        <v>0</v>
      </c>
      <c r="L349" s="135">
        <f t="shared" si="480"/>
        <v>0</v>
      </c>
      <c r="M349" s="135">
        <f t="shared" si="481"/>
        <v>0</v>
      </c>
      <c r="N349" s="135">
        <f t="shared" si="482"/>
        <v>0</v>
      </c>
      <c r="O349" s="135">
        <f t="shared" si="483"/>
        <v>0</v>
      </c>
      <c r="P349" s="135">
        <f t="shared" si="484"/>
        <v>0</v>
      </c>
    </row>
    <row r="350" spans="1:16" ht="12.75" customHeight="1" x14ac:dyDescent="0.25">
      <c r="B350" s="134"/>
      <c r="C350" s="108" t="s">
        <v>212</v>
      </c>
      <c r="D350" s="108"/>
      <c r="E350" s="626">
        <v>0</v>
      </c>
      <c r="F350" s="365">
        <f t="shared" ref="F350:I350" si="491">E350*(1+F$100)</f>
        <v>0</v>
      </c>
      <c r="G350" s="194">
        <f t="shared" si="491"/>
        <v>0</v>
      </c>
      <c r="H350" s="135">
        <f t="shared" si="491"/>
        <v>0</v>
      </c>
      <c r="I350" s="135">
        <f t="shared" si="491"/>
        <v>0</v>
      </c>
      <c r="J350" s="135">
        <f t="shared" si="478"/>
        <v>0</v>
      </c>
      <c r="K350" s="135">
        <f t="shared" si="479"/>
        <v>0</v>
      </c>
      <c r="L350" s="135">
        <f t="shared" si="480"/>
        <v>0</v>
      </c>
      <c r="M350" s="135">
        <f t="shared" si="481"/>
        <v>0</v>
      </c>
      <c r="N350" s="135">
        <f t="shared" si="482"/>
        <v>0</v>
      </c>
      <c r="O350" s="135">
        <f t="shared" si="483"/>
        <v>0</v>
      </c>
      <c r="P350" s="135">
        <f t="shared" si="484"/>
        <v>0</v>
      </c>
    </row>
    <row r="351" spans="1:16" ht="12.75" customHeight="1" x14ac:dyDescent="0.25">
      <c r="A351" s="73"/>
      <c r="B351" s="133"/>
      <c r="C351" s="136" t="s">
        <v>213</v>
      </c>
      <c r="D351" s="136"/>
      <c r="E351" s="627">
        <v>0</v>
      </c>
      <c r="F351" s="367">
        <f t="shared" ref="F351:I351" si="492">E351*(1+F$100)</f>
        <v>0</v>
      </c>
      <c r="G351" s="195">
        <f t="shared" si="492"/>
        <v>0</v>
      </c>
      <c r="H351" s="132">
        <f t="shared" si="492"/>
        <v>0</v>
      </c>
      <c r="I351" s="132">
        <f t="shared" si="492"/>
        <v>0</v>
      </c>
      <c r="J351" s="132">
        <f t="shared" si="478"/>
        <v>0</v>
      </c>
      <c r="K351" s="132">
        <f t="shared" si="479"/>
        <v>0</v>
      </c>
      <c r="L351" s="132">
        <f t="shared" si="480"/>
        <v>0</v>
      </c>
      <c r="M351" s="132">
        <f t="shared" si="481"/>
        <v>0</v>
      </c>
      <c r="N351" s="132">
        <f t="shared" si="482"/>
        <v>0</v>
      </c>
      <c r="O351" s="132">
        <f t="shared" si="483"/>
        <v>0</v>
      </c>
      <c r="P351" s="132">
        <f t="shared" si="484"/>
        <v>0</v>
      </c>
    </row>
    <row r="352" spans="1:16" ht="12.75" customHeight="1" x14ac:dyDescent="0.25">
      <c r="B352" s="134"/>
      <c r="C352" s="108" t="s">
        <v>219</v>
      </c>
      <c r="D352" s="108"/>
      <c r="E352" s="135">
        <f t="shared" ref="E352:I352" si="493">SUM(E343:E351)</f>
        <v>0</v>
      </c>
      <c r="F352" s="135">
        <f t="shared" si="493"/>
        <v>0</v>
      </c>
      <c r="G352" s="194">
        <f t="shared" si="493"/>
        <v>0</v>
      </c>
      <c r="H352" s="135">
        <f t="shared" si="493"/>
        <v>0</v>
      </c>
      <c r="I352" s="135">
        <f t="shared" si="493"/>
        <v>0</v>
      </c>
      <c r="J352" s="135">
        <f t="shared" ref="J352:P352" si="494">SUM(J343:J351)</f>
        <v>0</v>
      </c>
      <c r="K352" s="135">
        <f t="shared" si="494"/>
        <v>0</v>
      </c>
      <c r="L352" s="135">
        <f t="shared" si="494"/>
        <v>0</v>
      </c>
      <c r="M352" s="135">
        <f t="shared" si="494"/>
        <v>0</v>
      </c>
      <c r="N352" s="135">
        <f t="shared" si="494"/>
        <v>0</v>
      </c>
      <c r="O352" s="135">
        <f t="shared" si="494"/>
        <v>0</v>
      </c>
      <c r="P352" s="135">
        <f t="shared" si="494"/>
        <v>0</v>
      </c>
    </row>
    <row r="353" spans="1:16" ht="12.75" customHeight="1" x14ac:dyDescent="0.25">
      <c r="B353" s="134"/>
      <c r="C353" s="108"/>
      <c r="D353" s="108"/>
      <c r="E353" s="135"/>
      <c r="F353" s="135"/>
      <c r="G353" s="194"/>
      <c r="H353" s="135"/>
      <c r="I353" s="135"/>
      <c r="J353" s="135"/>
      <c r="K353" s="135"/>
      <c r="L353" s="135"/>
      <c r="M353" s="135"/>
      <c r="N353" s="135"/>
      <c r="O353" s="135"/>
      <c r="P353" s="135"/>
    </row>
    <row r="354" spans="1:16" ht="12.75" customHeight="1" x14ac:dyDescent="0.25">
      <c r="B354" s="29" t="s">
        <v>297</v>
      </c>
      <c r="C354" s="108"/>
      <c r="D354" s="108"/>
      <c r="E354" s="25"/>
      <c r="F354" s="25"/>
      <c r="G354" s="182"/>
      <c r="H354" s="25"/>
      <c r="I354" s="25"/>
      <c r="J354" s="25"/>
      <c r="K354" s="25"/>
      <c r="L354" s="25"/>
      <c r="M354" s="25"/>
      <c r="N354" s="25"/>
      <c r="O354" s="25"/>
      <c r="P354" s="25"/>
    </row>
    <row r="355" spans="1:16" ht="12.75" customHeight="1" x14ac:dyDescent="0.25">
      <c r="B355" s="134"/>
      <c r="C355" s="108" t="s">
        <v>206</v>
      </c>
      <c r="D355" s="108"/>
      <c r="E355" s="626">
        <v>0</v>
      </c>
      <c r="F355" s="365">
        <f>E355*(1+F$101)</f>
        <v>0</v>
      </c>
      <c r="G355" s="194">
        <f t="shared" ref="G355:I355" si="495">F355*(1+G$101)</f>
        <v>0</v>
      </c>
      <c r="H355" s="135">
        <f t="shared" si="495"/>
        <v>0</v>
      </c>
      <c r="I355" s="135">
        <f t="shared" si="495"/>
        <v>0</v>
      </c>
      <c r="J355" s="135">
        <f t="shared" ref="J355:J363" si="496">I355*(1+J$101)</f>
        <v>0</v>
      </c>
      <c r="K355" s="135">
        <f t="shared" ref="K355:K363" si="497">J355*(1+K$101)</f>
        <v>0</v>
      </c>
      <c r="L355" s="135">
        <f t="shared" ref="L355:L363" si="498">K355*(1+L$101)</f>
        <v>0</v>
      </c>
      <c r="M355" s="135">
        <f t="shared" ref="M355:M363" si="499">L355*(1+M$101)</f>
        <v>0</v>
      </c>
      <c r="N355" s="135">
        <f t="shared" ref="N355:N363" si="500">M355*(1+N$101)</f>
        <v>0</v>
      </c>
      <c r="O355" s="135">
        <f t="shared" ref="O355:O363" si="501">N355*(1+O$101)</f>
        <v>0</v>
      </c>
      <c r="P355" s="135">
        <f t="shared" ref="P355:P363" si="502">O355*(1+P$101)</f>
        <v>0</v>
      </c>
    </row>
    <row r="356" spans="1:16" ht="12.75" customHeight="1" x14ac:dyDescent="0.25">
      <c r="B356" s="134"/>
      <c r="C356" s="108" t="s">
        <v>214</v>
      </c>
      <c r="D356" s="108"/>
      <c r="E356" s="626">
        <v>0</v>
      </c>
      <c r="F356" s="365">
        <f t="shared" ref="F356:I356" si="503">E356*(1+F$101)</f>
        <v>0</v>
      </c>
      <c r="G356" s="194">
        <f t="shared" si="503"/>
        <v>0</v>
      </c>
      <c r="H356" s="135">
        <f t="shared" si="503"/>
        <v>0</v>
      </c>
      <c r="I356" s="135">
        <f t="shared" si="503"/>
        <v>0</v>
      </c>
      <c r="J356" s="135">
        <f t="shared" si="496"/>
        <v>0</v>
      </c>
      <c r="K356" s="135">
        <f t="shared" si="497"/>
        <v>0</v>
      </c>
      <c r="L356" s="135">
        <f t="shared" si="498"/>
        <v>0</v>
      </c>
      <c r="M356" s="135">
        <f t="shared" si="499"/>
        <v>0</v>
      </c>
      <c r="N356" s="135">
        <f t="shared" si="500"/>
        <v>0</v>
      </c>
      <c r="O356" s="135">
        <f t="shared" si="501"/>
        <v>0</v>
      </c>
      <c r="P356" s="135">
        <f t="shared" si="502"/>
        <v>0</v>
      </c>
    </row>
    <row r="357" spans="1:16" ht="12.75" customHeight="1" x14ac:dyDescent="0.25">
      <c r="B357" s="134"/>
      <c r="C357" s="108" t="s">
        <v>207</v>
      </c>
      <c r="D357" s="108"/>
      <c r="E357" s="626">
        <v>0</v>
      </c>
      <c r="F357" s="365">
        <f t="shared" ref="F357:I357" si="504">E357*(1+F$101)</f>
        <v>0</v>
      </c>
      <c r="G357" s="194">
        <f t="shared" si="504"/>
        <v>0</v>
      </c>
      <c r="H357" s="135">
        <f t="shared" si="504"/>
        <v>0</v>
      </c>
      <c r="I357" s="135">
        <f t="shared" si="504"/>
        <v>0</v>
      </c>
      <c r="J357" s="135">
        <f t="shared" si="496"/>
        <v>0</v>
      </c>
      <c r="K357" s="135">
        <f t="shared" si="497"/>
        <v>0</v>
      </c>
      <c r="L357" s="135">
        <f t="shared" si="498"/>
        <v>0</v>
      </c>
      <c r="M357" s="135">
        <f t="shared" si="499"/>
        <v>0</v>
      </c>
      <c r="N357" s="135">
        <f t="shared" si="500"/>
        <v>0</v>
      </c>
      <c r="O357" s="135">
        <f t="shared" si="501"/>
        <v>0</v>
      </c>
      <c r="P357" s="135">
        <f t="shared" si="502"/>
        <v>0</v>
      </c>
    </row>
    <row r="358" spans="1:16" ht="12.75" customHeight="1" x14ac:dyDescent="0.25">
      <c r="B358" s="134"/>
      <c r="C358" s="108" t="s">
        <v>208</v>
      </c>
      <c r="D358" s="108"/>
      <c r="E358" s="626">
        <v>0</v>
      </c>
      <c r="F358" s="365">
        <f t="shared" ref="F358:I358" si="505">E358*(1+F$101)</f>
        <v>0</v>
      </c>
      <c r="G358" s="194">
        <f t="shared" si="505"/>
        <v>0</v>
      </c>
      <c r="H358" s="135">
        <f t="shared" si="505"/>
        <v>0</v>
      </c>
      <c r="I358" s="135">
        <f t="shared" si="505"/>
        <v>0</v>
      </c>
      <c r="J358" s="135">
        <f t="shared" si="496"/>
        <v>0</v>
      </c>
      <c r="K358" s="135">
        <f t="shared" si="497"/>
        <v>0</v>
      </c>
      <c r="L358" s="135">
        <f t="shared" si="498"/>
        <v>0</v>
      </c>
      <c r="M358" s="135">
        <f t="shared" si="499"/>
        <v>0</v>
      </c>
      <c r="N358" s="135">
        <f t="shared" si="500"/>
        <v>0</v>
      </c>
      <c r="O358" s="135">
        <f t="shared" si="501"/>
        <v>0</v>
      </c>
      <c r="P358" s="135">
        <f t="shared" si="502"/>
        <v>0</v>
      </c>
    </row>
    <row r="359" spans="1:16" ht="12.75" customHeight="1" x14ac:dyDescent="0.25">
      <c r="B359" s="134"/>
      <c r="C359" s="108" t="s">
        <v>209</v>
      </c>
      <c r="D359" s="108"/>
      <c r="E359" s="626">
        <v>0</v>
      </c>
      <c r="F359" s="365">
        <f t="shared" ref="F359:I359" si="506">E359*(1+F$101)</f>
        <v>0</v>
      </c>
      <c r="G359" s="194">
        <f t="shared" si="506"/>
        <v>0</v>
      </c>
      <c r="H359" s="135">
        <f t="shared" si="506"/>
        <v>0</v>
      </c>
      <c r="I359" s="135">
        <f t="shared" si="506"/>
        <v>0</v>
      </c>
      <c r="J359" s="135">
        <f t="shared" si="496"/>
        <v>0</v>
      </c>
      <c r="K359" s="135">
        <f t="shared" si="497"/>
        <v>0</v>
      </c>
      <c r="L359" s="135">
        <f t="shared" si="498"/>
        <v>0</v>
      </c>
      <c r="M359" s="135">
        <f t="shared" si="499"/>
        <v>0</v>
      </c>
      <c r="N359" s="135">
        <f t="shared" si="500"/>
        <v>0</v>
      </c>
      <c r="O359" s="135">
        <f t="shared" si="501"/>
        <v>0</v>
      </c>
      <c r="P359" s="135">
        <f t="shared" si="502"/>
        <v>0</v>
      </c>
    </row>
    <row r="360" spans="1:16" ht="12.75" customHeight="1" x14ac:dyDescent="0.25">
      <c r="B360" s="134"/>
      <c r="C360" s="108" t="s">
        <v>210</v>
      </c>
      <c r="D360" s="108"/>
      <c r="E360" s="626">
        <v>0</v>
      </c>
      <c r="F360" s="365">
        <f t="shared" ref="F360:I360" si="507">E360*(1+F$101)</f>
        <v>0</v>
      </c>
      <c r="G360" s="194">
        <f t="shared" si="507"/>
        <v>0</v>
      </c>
      <c r="H360" s="135">
        <f t="shared" si="507"/>
        <v>0</v>
      </c>
      <c r="I360" s="135">
        <f t="shared" si="507"/>
        <v>0</v>
      </c>
      <c r="J360" s="135">
        <f t="shared" si="496"/>
        <v>0</v>
      </c>
      <c r="K360" s="135">
        <f t="shared" si="497"/>
        <v>0</v>
      </c>
      <c r="L360" s="135">
        <f t="shared" si="498"/>
        <v>0</v>
      </c>
      <c r="M360" s="135">
        <f t="shared" si="499"/>
        <v>0</v>
      </c>
      <c r="N360" s="135">
        <f t="shared" si="500"/>
        <v>0</v>
      </c>
      <c r="O360" s="135">
        <f t="shared" si="501"/>
        <v>0</v>
      </c>
      <c r="P360" s="135">
        <f t="shared" si="502"/>
        <v>0</v>
      </c>
    </row>
    <row r="361" spans="1:16" ht="12.75" customHeight="1" x14ac:dyDescent="0.25">
      <c r="B361" s="134"/>
      <c r="C361" s="108" t="s">
        <v>211</v>
      </c>
      <c r="D361" s="108"/>
      <c r="E361" s="626">
        <v>0</v>
      </c>
      <c r="F361" s="365">
        <f t="shared" ref="F361:I361" si="508">E361*(1+F$101)</f>
        <v>0</v>
      </c>
      <c r="G361" s="194">
        <f t="shared" si="508"/>
        <v>0</v>
      </c>
      <c r="H361" s="135">
        <f t="shared" si="508"/>
        <v>0</v>
      </c>
      <c r="I361" s="135">
        <f t="shared" si="508"/>
        <v>0</v>
      </c>
      <c r="J361" s="135">
        <f t="shared" si="496"/>
        <v>0</v>
      </c>
      <c r="K361" s="135">
        <f t="shared" si="497"/>
        <v>0</v>
      </c>
      <c r="L361" s="135">
        <f t="shared" si="498"/>
        <v>0</v>
      </c>
      <c r="M361" s="135">
        <f t="shared" si="499"/>
        <v>0</v>
      </c>
      <c r="N361" s="135">
        <f t="shared" si="500"/>
        <v>0</v>
      </c>
      <c r="O361" s="135">
        <f t="shared" si="501"/>
        <v>0</v>
      </c>
      <c r="P361" s="135">
        <f t="shared" si="502"/>
        <v>0</v>
      </c>
    </row>
    <row r="362" spans="1:16" ht="12.75" customHeight="1" x14ac:dyDescent="0.25">
      <c r="B362" s="134"/>
      <c r="C362" s="108" t="s">
        <v>212</v>
      </c>
      <c r="D362" s="108"/>
      <c r="E362" s="626">
        <v>0</v>
      </c>
      <c r="F362" s="365">
        <f t="shared" ref="F362:I362" si="509">E362*(1+F$101)</f>
        <v>0</v>
      </c>
      <c r="G362" s="194">
        <f t="shared" si="509"/>
        <v>0</v>
      </c>
      <c r="H362" s="135">
        <f t="shared" si="509"/>
        <v>0</v>
      </c>
      <c r="I362" s="135">
        <f t="shared" si="509"/>
        <v>0</v>
      </c>
      <c r="J362" s="135">
        <f t="shared" si="496"/>
        <v>0</v>
      </c>
      <c r="K362" s="135">
        <f t="shared" si="497"/>
        <v>0</v>
      </c>
      <c r="L362" s="135">
        <f t="shared" si="498"/>
        <v>0</v>
      </c>
      <c r="M362" s="135">
        <f t="shared" si="499"/>
        <v>0</v>
      </c>
      <c r="N362" s="135">
        <f t="shared" si="500"/>
        <v>0</v>
      </c>
      <c r="O362" s="135">
        <f t="shared" si="501"/>
        <v>0</v>
      </c>
      <c r="P362" s="135">
        <f t="shared" si="502"/>
        <v>0</v>
      </c>
    </row>
    <row r="363" spans="1:16" ht="12.75" customHeight="1" x14ac:dyDescent="0.25">
      <c r="A363" s="73"/>
      <c r="B363" s="133"/>
      <c r="C363" s="136" t="s">
        <v>213</v>
      </c>
      <c r="D363" s="136"/>
      <c r="E363" s="627">
        <v>0</v>
      </c>
      <c r="F363" s="367">
        <f t="shared" ref="F363:I363" si="510">E363*(1+F$101)</f>
        <v>0</v>
      </c>
      <c r="G363" s="195">
        <f t="shared" si="510"/>
        <v>0</v>
      </c>
      <c r="H363" s="132">
        <f t="shared" si="510"/>
        <v>0</v>
      </c>
      <c r="I363" s="132">
        <f t="shared" si="510"/>
        <v>0</v>
      </c>
      <c r="J363" s="132">
        <f t="shared" si="496"/>
        <v>0</v>
      </c>
      <c r="K363" s="132">
        <f t="shared" si="497"/>
        <v>0</v>
      </c>
      <c r="L363" s="132">
        <f t="shared" si="498"/>
        <v>0</v>
      </c>
      <c r="M363" s="132">
        <f t="shared" si="499"/>
        <v>0</v>
      </c>
      <c r="N363" s="132">
        <f t="shared" si="500"/>
        <v>0</v>
      </c>
      <c r="O363" s="132">
        <f t="shared" si="501"/>
        <v>0</v>
      </c>
      <c r="P363" s="132">
        <f t="shared" si="502"/>
        <v>0</v>
      </c>
    </row>
    <row r="364" spans="1:16" ht="12.75" customHeight="1" x14ac:dyDescent="0.25">
      <c r="B364" s="134"/>
      <c r="C364" s="108" t="s">
        <v>219</v>
      </c>
      <c r="D364" s="108"/>
      <c r="E364" s="135">
        <f t="shared" ref="E364:I364" si="511">SUM(E355:E363)</f>
        <v>0</v>
      </c>
      <c r="F364" s="135">
        <f t="shared" si="511"/>
        <v>0</v>
      </c>
      <c r="G364" s="194">
        <f t="shared" si="511"/>
        <v>0</v>
      </c>
      <c r="H364" s="135">
        <f t="shared" si="511"/>
        <v>0</v>
      </c>
      <c r="I364" s="135">
        <f t="shared" si="511"/>
        <v>0</v>
      </c>
      <c r="J364" s="135">
        <f t="shared" ref="J364:P364" si="512">SUM(J355:J363)</f>
        <v>0</v>
      </c>
      <c r="K364" s="135">
        <f t="shared" si="512"/>
        <v>0</v>
      </c>
      <c r="L364" s="135">
        <f t="shared" si="512"/>
        <v>0</v>
      </c>
      <c r="M364" s="135">
        <f t="shared" si="512"/>
        <v>0</v>
      </c>
      <c r="N364" s="135">
        <f t="shared" si="512"/>
        <v>0</v>
      </c>
      <c r="O364" s="135">
        <f t="shared" si="512"/>
        <v>0</v>
      </c>
      <c r="P364" s="135">
        <f t="shared" si="512"/>
        <v>0</v>
      </c>
    </row>
    <row r="365" spans="1:16" ht="12.75" customHeight="1" thickBot="1" x14ac:dyDescent="0.3">
      <c r="B365" s="225"/>
      <c r="C365" s="226"/>
      <c r="D365" s="226"/>
      <c r="E365" s="227"/>
      <c r="F365" s="227"/>
      <c r="G365" s="228"/>
      <c r="H365" s="227"/>
      <c r="I365" s="227"/>
      <c r="J365" s="227"/>
      <c r="K365" s="227"/>
      <c r="L365" s="227"/>
      <c r="M365" s="227"/>
      <c r="N365" s="227"/>
      <c r="O365" s="227"/>
      <c r="P365" s="227"/>
    </row>
    <row r="366" spans="1:16" ht="12.75" customHeight="1" thickTop="1" x14ac:dyDescent="0.25">
      <c r="B366" s="110" t="s">
        <v>8</v>
      </c>
      <c r="C366" s="108"/>
      <c r="D366" s="108"/>
      <c r="E366" s="135">
        <f t="shared" ref="E366:I366" si="513">E328+E340+E352+E364</f>
        <v>7092.5</v>
      </c>
      <c r="F366" s="135">
        <f t="shared" si="513"/>
        <v>7092.5</v>
      </c>
      <c r="G366" s="194">
        <f t="shared" si="513"/>
        <v>7092.5</v>
      </c>
      <c r="H366" s="135">
        <f t="shared" si="513"/>
        <v>7092.5</v>
      </c>
      <c r="I366" s="135">
        <f t="shared" si="513"/>
        <v>7092.5</v>
      </c>
      <c r="J366" s="135">
        <f t="shared" ref="J366:P366" si="514">J328+J340+J352+J364</f>
        <v>7092.5</v>
      </c>
      <c r="K366" s="135">
        <f t="shared" si="514"/>
        <v>7092.5</v>
      </c>
      <c r="L366" s="135">
        <f t="shared" si="514"/>
        <v>7092.5</v>
      </c>
      <c r="M366" s="135">
        <f t="shared" si="514"/>
        <v>7092.5</v>
      </c>
      <c r="N366" s="135">
        <f t="shared" si="514"/>
        <v>7092.5</v>
      </c>
      <c r="O366" s="135">
        <f t="shared" si="514"/>
        <v>7092.5</v>
      </c>
      <c r="P366" s="135">
        <f t="shared" si="514"/>
        <v>7092.5</v>
      </c>
    </row>
    <row r="367" spans="1:16" ht="12.75" customHeight="1" x14ac:dyDescent="0.25">
      <c r="B367" s="134"/>
      <c r="C367" s="108"/>
      <c r="D367" s="108"/>
      <c r="E367" s="135"/>
      <c r="F367" s="135"/>
      <c r="G367" s="194"/>
      <c r="H367" s="135"/>
      <c r="I367" s="135"/>
      <c r="J367" s="135"/>
      <c r="K367" s="135"/>
      <c r="L367" s="135"/>
      <c r="M367" s="135"/>
      <c r="N367" s="135"/>
      <c r="O367" s="135"/>
      <c r="P367" s="135"/>
    </row>
    <row r="368" spans="1:16" ht="12.75" customHeight="1" x14ac:dyDescent="0.25">
      <c r="A368" s="3"/>
      <c r="B368" s="72" t="s">
        <v>259</v>
      </c>
      <c r="E368" s="25"/>
      <c r="F368" s="25"/>
      <c r="G368" s="182"/>
      <c r="H368" s="25"/>
      <c r="I368" s="25"/>
      <c r="J368" s="25"/>
      <c r="K368" s="25"/>
      <c r="L368" s="25"/>
      <c r="M368" s="25"/>
      <c r="N368" s="25"/>
      <c r="O368" s="25"/>
      <c r="P368" s="25"/>
    </row>
    <row r="369" spans="1:16" ht="12.75" customHeight="1" x14ac:dyDescent="0.25">
      <c r="B369" s="110" t="s">
        <v>216</v>
      </c>
      <c r="C369" s="108"/>
      <c r="D369" s="108"/>
      <c r="E369" s="25"/>
      <c r="F369" s="25"/>
      <c r="G369" s="182"/>
      <c r="H369" s="25"/>
      <c r="I369" s="25"/>
      <c r="J369" s="25"/>
      <c r="K369" s="25"/>
      <c r="L369" s="25"/>
      <c r="M369" s="25"/>
      <c r="N369" s="25"/>
      <c r="O369" s="25"/>
      <c r="P369" s="25"/>
    </row>
    <row r="370" spans="1:16" ht="12.75" customHeight="1" x14ac:dyDescent="0.25">
      <c r="B370" s="134"/>
      <c r="C370" s="108" t="s">
        <v>206</v>
      </c>
      <c r="D370" s="108"/>
      <c r="E370" s="626">
        <f>E16</f>
        <v>285.75</v>
      </c>
      <c r="F370" s="146">
        <f>E370*(1+F$103)</f>
        <v>285.75</v>
      </c>
      <c r="G370" s="194">
        <f t="shared" ref="G370:I370" si="515">F370*(1+G$103)</f>
        <v>285.75</v>
      </c>
      <c r="H370" s="135">
        <f t="shared" si="515"/>
        <v>285.75</v>
      </c>
      <c r="I370" s="135">
        <f t="shared" si="515"/>
        <v>285.75</v>
      </c>
      <c r="J370" s="135">
        <f t="shared" ref="J370:J378" si="516">I370*(1+J$103)</f>
        <v>285.75</v>
      </c>
      <c r="K370" s="135">
        <f t="shared" ref="K370:K378" si="517">J370*(1+K$103)</f>
        <v>285.75</v>
      </c>
      <c r="L370" s="135">
        <f t="shared" ref="L370:L378" si="518">K370*(1+L$103)</f>
        <v>285.75</v>
      </c>
      <c r="M370" s="135">
        <f t="shared" ref="M370:M378" si="519">L370*(1+M$103)</f>
        <v>285.75</v>
      </c>
      <c r="N370" s="135">
        <f t="shared" ref="N370:N378" si="520">M370*(1+N$103)</f>
        <v>285.75</v>
      </c>
      <c r="O370" s="135">
        <f t="shared" ref="O370:O378" si="521">N370*(1+O$103)</f>
        <v>285.75</v>
      </c>
      <c r="P370" s="135">
        <f t="shared" ref="P370:P378" si="522">O370*(1+P$103)</f>
        <v>285.75</v>
      </c>
    </row>
    <row r="371" spans="1:16" ht="12.75" customHeight="1" x14ac:dyDescent="0.25">
      <c r="B371" s="134"/>
      <c r="C371" s="108" t="s">
        <v>214</v>
      </c>
      <c r="D371" s="108"/>
      <c r="E371" s="626"/>
      <c r="F371" s="146">
        <f t="shared" ref="F371:I371" si="523">E371*(1+F$103)</f>
        <v>0</v>
      </c>
      <c r="G371" s="194">
        <f t="shared" si="523"/>
        <v>0</v>
      </c>
      <c r="H371" s="135">
        <f t="shared" si="523"/>
        <v>0</v>
      </c>
      <c r="I371" s="135">
        <f t="shared" si="523"/>
        <v>0</v>
      </c>
      <c r="J371" s="135">
        <f t="shared" si="516"/>
        <v>0</v>
      </c>
      <c r="K371" s="135">
        <f t="shared" si="517"/>
        <v>0</v>
      </c>
      <c r="L371" s="135">
        <f t="shared" si="518"/>
        <v>0</v>
      </c>
      <c r="M371" s="135">
        <f t="shared" si="519"/>
        <v>0</v>
      </c>
      <c r="N371" s="135">
        <f t="shared" si="520"/>
        <v>0</v>
      </c>
      <c r="O371" s="135">
        <f t="shared" si="521"/>
        <v>0</v>
      </c>
      <c r="P371" s="135">
        <f t="shared" si="522"/>
        <v>0</v>
      </c>
    </row>
    <row r="372" spans="1:16" ht="12.75" customHeight="1" x14ac:dyDescent="0.25">
      <c r="B372" s="134"/>
      <c r="C372" s="108" t="s">
        <v>207</v>
      </c>
      <c r="D372" s="108"/>
      <c r="E372" s="626"/>
      <c r="F372" s="146">
        <f t="shared" ref="F372:I372" si="524">E372*(1+F$103)</f>
        <v>0</v>
      </c>
      <c r="G372" s="194">
        <f t="shared" si="524"/>
        <v>0</v>
      </c>
      <c r="H372" s="135">
        <f t="shared" si="524"/>
        <v>0</v>
      </c>
      <c r="I372" s="135">
        <f t="shared" si="524"/>
        <v>0</v>
      </c>
      <c r="J372" s="135">
        <f t="shared" si="516"/>
        <v>0</v>
      </c>
      <c r="K372" s="135">
        <f t="shared" si="517"/>
        <v>0</v>
      </c>
      <c r="L372" s="135">
        <f t="shared" si="518"/>
        <v>0</v>
      </c>
      <c r="M372" s="135">
        <f t="shared" si="519"/>
        <v>0</v>
      </c>
      <c r="N372" s="135">
        <f t="shared" si="520"/>
        <v>0</v>
      </c>
      <c r="O372" s="135">
        <f t="shared" si="521"/>
        <v>0</v>
      </c>
      <c r="P372" s="135">
        <f t="shared" si="522"/>
        <v>0</v>
      </c>
    </row>
    <row r="373" spans="1:16" ht="12.75" customHeight="1" x14ac:dyDescent="0.25">
      <c r="B373" s="134"/>
      <c r="C373" s="108" t="s">
        <v>208</v>
      </c>
      <c r="D373" s="108"/>
      <c r="E373" s="626"/>
      <c r="F373" s="146">
        <f t="shared" ref="F373:I373" si="525">E373*(1+F$103)</f>
        <v>0</v>
      </c>
      <c r="G373" s="194">
        <f t="shared" si="525"/>
        <v>0</v>
      </c>
      <c r="H373" s="135">
        <f t="shared" si="525"/>
        <v>0</v>
      </c>
      <c r="I373" s="135">
        <f t="shared" si="525"/>
        <v>0</v>
      </c>
      <c r="J373" s="135">
        <f t="shared" si="516"/>
        <v>0</v>
      </c>
      <c r="K373" s="135">
        <f t="shared" si="517"/>
        <v>0</v>
      </c>
      <c r="L373" s="135">
        <f t="shared" si="518"/>
        <v>0</v>
      </c>
      <c r="M373" s="135">
        <f t="shared" si="519"/>
        <v>0</v>
      </c>
      <c r="N373" s="135">
        <f t="shared" si="520"/>
        <v>0</v>
      </c>
      <c r="O373" s="135">
        <f t="shared" si="521"/>
        <v>0</v>
      </c>
      <c r="P373" s="135">
        <f t="shared" si="522"/>
        <v>0</v>
      </c>
    </row>
    <row r="374" spans="1:16" ht="12.75" customHeight="1" x14ac:dyDescent="0.25">
      <c r="B374" s="134"/>
      <c r="C374" s="108" t="s">
        <v>209</v>
      </c>
      <c r="D374" s="108"/>
      <c r="E374" s="626"/>
      <c r="F374" s="146">
        <f t="shared" ref="F374:I374" si="526">E374*(1+F$103)</f>
        <v>0</v>
      </c>
      <c r="G374" s="194">
        <f t="shared" si="526"/>
        <v>0</v>
      </c>
      <c r="H374" s="135">
        <f t="shared" si="526"/>
        <v>0</v>
      </c>
      <c r="I374" s="135">
        <f t="shared" si="526"/>
        <v>0</v>
      </c>
      <c r="J374" s="135">
        <f t="shared" si="516"/>
        <v>0</v>
      </c>
      <c r="K374" s="135">
        <f t="shared" si="517"/>
        <v>0</v>
      </c>
      <c r="L374" s="135">
        <f t="shared" si="518"/>
        <v>0</v>
      </c>
      <c r="M374" s="135">
        <f t="shared" si="519"/>
        <v>0</v>
      </c>
      <c r="N374" s="135">
        <f t="shared" si="520"/>
        <v>0</v>
      </c>
      <c r="O374" s="135">
        <f t="shared" si="521"/>
        <v>0</v>
      </c>
      <c r="P374" s="135">
        <f t="shared" si="522"/>
        <v>0</v>
      </c>
    </row>
    <row r="375" spans="1:16" ht="12.75" customHeight="1" x14ac:dyDescent="0.25">
      <c r="B375" s="134"/>
      <c r="C375" s="108" t="s">
        <v>210</v>
      </c>
      <c r="D375" s="108"/>
      <c r="E375" s="626"/>
      <c r="F375" s="146">
        <f t="shared" ref="F375:I375" si="527">E375*(1+F$103)</f>
        <v>0</v>
      </c>
      <c r="G375" s="194">
        <f t="shared" si="527"/>
        <v>0</v>
      </c>
      <c r="H375" s="135">
        <f t="shared" si="527"/>
        <v>0</v>
      </c>
      <c r="I375" s="135">
        <f t="shared" si="527"/>
        <v>0</v>
      </c>
      <c r="J375" s="135">
        <f t="shared" si="516"/>
        <v>0</v>
      </c>
      <c r="K375" s="135">
        <f t="shared" si="517"/>
        <v>0</v>
      </c>
      <c r="L375" s="135">
        <f t="shared" si="518"/>
        <v>0</v>
      </c>
      <c r="M375" s="135">
        <f t="shared" si="519"/>
        <v>0</v>
      </c>
      <c r="N375" s="135">
        <f t="shared" si="520"/>
        <v>0</v>
      </c>
      <c r="O375" s="135">
        <f t="shared" si="521"/>
        <v>0</v>
      </c>
      <c r="P375" s="135">
        <f t="shared" si="522"/>
        <v>0</v>
      </c>
    </row>
    <row r="376" spans="1:16" ht="12.75" customHeight="1" x14ac:dyDescent="0.25">
      <c r="B376" s="134"/>
      <c r="C376" s="108" t="s">
        <v>211</v>
      </c>
      <c r="D376" s="108"/>
      <c r="E376" s="626"/>
      <c r="F376" s="146">
        <f t="shared" ref="F376:I376" si="528">E376*(1+F$103)</f>
        <v>0</v>
      </c>
      <c r="G376" s="194">
        <f t="shared" si="528"/>
        <v>0</v>
      </c>
      <c r="H376" s="135">
        <f t="shared" si="528"/>
        <v>0</v>
      </c>
      <c r="I376" s="135">
        <f t="shared" si="528"/>
        <v>0</v>
      </c>
      <c r="J376" s="135">
        <f t="shared" si="516"/>
        <v>0</v>
      </c>
      <c r="K376" s="135">
        <f t="shared" si="517"/>
        <v>0</v>
      </c>
      <c r="L376" s="135">
        <f t="shared" si="518"/>
        <v>0</v>
      </c>
      <c r="M376" s="135">
        <f t="shared" si="519"/>
        <v>0</v>
      </c>
      <c r="N376" s="135">
        <f t="shared" si="520"/>
        <v>0</v>
      </c>
      <c r="O376" s="135">
        <f t="shared" si="521"/>
        <v>0</v>
      </c>
      <c r="P376" s="135">
        <f t="shared" si="522"/>
        <v>0</v>
      </c>
    </row>
    <row r="377" spans="1:16" ht="12.75" customHeight="1" x14ac:dyDescent="0.25">
      <c r="B377" s="134"/>
      <c r="C377" s="108" t="s">
        <v>212</v>
      </c>
      <c r="D377" s="108"/>
      <c r="E377" s="626"/>
      <c r="F377" s="146">
        <f t="shared" ref="F377:I377" si="529">E377*(1+F$103)</f>
        <v>0</v>
      </c>
      <c r="G377" s="194">
        <f t="shared" si="529"/>
        <v>0</v>
      </c>
      <c r="H377" s="135">
        <f t="shared" si="529"/>
        <v>0</v>
      </c>
      <c r="I377" s="135">
        <f t="shared" si="529"/>
        <v>0</v>
      </c>
      <c r="J377" s="135">
        <f t="shared" si="516"/>
        <v>0</v>
      </c>
      <c r="K377" s="135">
        <f t="shared" si="517"/>
        <v>0</v>
      </c>
      <c r="L377" s="135">
        <f t="shared" si="518"/>
        <v>0</v>
      </c>
      <c r="M377" s="135">
        <f t="shared" si="519"/>
        <v>0</v>
      </c>
      <c r="N377" s="135">
        <f t="shared" si="520"/>
        <v>0</v>
      </c>
      <c r="O377" s="135">
        <f t="shared" si="521"/>
        <v>0</v>
      </c>
      <c r="P377" s="135">
        <f t="shared" si="522"/>
        <v>0</v>
      </c>
    </row>
    <row r="378" spans="1:16" ht="12.75" customHeight="1" x14ac:dyDescent="0.25">
      <c r="A378" s="73"/>
      <c r="B378" s="133"/>
      <c r="C378" s="136" t="s">
        <v>213</v>
      </c>
      <c r="D378" s="136"/>
      <c r="E378" s="627"/>
      <c r="F378" s="147">
        <f t="shared" ref="F378:I378" si="530">E378*(1+F$103)</f>
        <v>0</v>
      </c>
      <c r="G378" s="195">
        <f t="shared" si="530"/>
        <v>0</v>
      </c>
      <c r="H378" s="132">
        <f t="shared" si="530"/>
        <v>0</v>
      </c>
      <c r="I378" s="132">
        <f t="shared" si="530"/>
        <v>0</v>
      </c>
      <c r="J378" s="132">
        <f t="shared" si="516"/>
        <v>0</v>
      </c>
      <c r="K378" s="132">
        <f t="shared" si="517"/>
        <v>0</v>
      </c>
      <c r="L378" s="132">
        <f t="shared" si="518"/>
        <v>0</v>
      </c>
      <c r="M378" s="132">
        <f t="shared" si="519"/>
        <v>0</v>
      </c>
      <c r="N378" s="132">
        <f t="shared" si="520"/>
        <v>0</v>
      </c>
      <c r="O378" s="132">
        <f t="shared" si="521"/>
        <v>0</v>
      </c>
      <c r="P378" s="132">
        <f t="shared" si="522"/>
        <v>0</v>
      </c>
    </row>
    <row r="379" spans="1:16" ht="12.75" customHeight="1" x14ac:dyDescent="0.25">
      <c r="B379" s="134"/>
      <c r="C379" s="108" t="s">
        <v>219</v>
      </c>
      <c r="D379" s="108"/>
      <c r="E379" s="135">
        <f t="shared" ref="E379:I379" si="531">SUM(E370:E378)</f>
        <v>285.75</v>
      </c>
      <c r="F379" s="135">
        <f t="shared" si="531"/>
        <v>285.75</v>
      </c>
      <c r="G379" s="194">
        <f t="shared" si="531"/>
        <v>285.75</v>
      </c>
      <c r="H379" s="135">
        <f t="shared" si="531"/>
        <v>285.75</v>
      </c>
      <c r="I379" s="135">
        <f t="shared" si="531"/>
        <v>285.75</v>
      </c>
      <c r="J379" s="135">
        <f t="shared" ref="J379:P379" si="532">SUM(J370:J378)</f>
        <v>285.75</v>
      </c>
      <c r="K379" s="135">
        <f t="shared" si="532"/>
        <v>285.75</v>
      </c>
      <c r="L379" s="135">
        <f t="shared" si="532"/>
        <v>285.75</v>
      </c>
      <c r="M379" s="135">
        <f t="shared" si="532"/>
        <v>285.75</v>
      </c>
      <c r="N379" s="135">
        <f t="shared" si="532"/>
        <v>285.75</v>
      </c>
      <c r="O379" s="135">
        <f t="shared" si="532"/>
        <v>285.75</v>
      </c>
      <c r="P379" s="135">
        <f t="shared" si="532"/>
        <v>285.75</v>
      </c>
    </row>
    <row r="380" spans="1:16" ht="12.75" customHeight="1" x14ac:dyDescent="0.25">
      <c r="B380" s="134"/>
      <c r="C380" s="108"/>
      <c r="D380" s="108"/>
      <c r="E380" s="135"/>
      <c r="F380" s="135"/>
      <c r="G380" s="194"/>
      <c r="H380" s="135"/>
      <c r="I380" s="135"/>
      <c r="J380" s="135"/>
      <c r="K380" s="135"/>
      <c r="L380" s="135"/>
      <c r="M380" s="135"/>
      <c r="N380" s="135"/>
      <c r="O380" s="135"/>
      <c r="P380" s="135"/>
    </row>
    <row r="381" spans="1:16" ht="12.75" customHeight="1" x14ac:dyDescent="0.25">
      <c r="B381" s="110" t="s">
        <v>343</v>
      </c>
      <c r="C381" s="108"/>
      <c r="D381" s="108"/>
      <c r="E381" s="25"/>
      <c r="F381" s="25"/>
      <c r="G381" s="182"/>
      <c r="H381" s="25"/>
      <c r="I381" s="25"/>
      <c r="J381" s="25"/>
      <c r="K381" s="25"/>
      <c r="L381" s="25"/>
      <c r="M381" s="25"/>
      <c r="N381" s="25"/>
      <c r="O381" s="25"/>
      <c r="P381" s="25"/>
    </row>
    <row r="382" spans="1:16" ht="12.75" customHeight="1" x14ac:dyDescent="0.25">
      <c r="B382" s="134"/>
      <c r="C382" s="108" t="s">
        <v>206</v>
      </c>
      <c r="D382" s="108"/>
      <c r="E382" s="626">
        <f>E17</f>
        <v>6</v>
      </c>
      <c r="F382" s="146">
        <f>E382*(1+F$104)</f>
        <v>6</v>
      </c>
      <c r="G382" s="194">
        <f t="shared" ref="G382:I382" si="533">F382*(1+G$104)</f>
        <v>6</v>
      </c>
      <c r="H382" s="135">
        <f t="shared" si="533"/>
        <v>6</v>
      </c>
      <c r="I382" s="135">
        <f t="shared" si="533"/>
        <v>6</v>
      </c>
      <c r="J382" s="135">
        <f t="shared" ref="J382:J390" si="534">I382*(1+J$104)</f>
        <v>6</v>
      </c>
      <c r="K382" s="135">
        <f t="shared" ref="K382:K390" si="535">J382*(1+K$104)</f>
        <v>6</v>
      </c>
      <c r="L382" s="135">
        <f t="shared" ref="L382:L390" si="536">K382*(1+L$104)</f>
        <v>6</v>
      </c>
      <c r="M382" s="135">
        <f t="shared" ref="M382:M390" si="537">L382*(1+M$104)</f>
        <v>6</v>
      </c>
      <c r="N382" s="135">
        <f t="shared" ref="N382:N390" si="538">M382*(1+N$104)</f>
        <v>6</v>
      </c>
      <c r="O382" s="135">
        <f t="shared" ref="O382:O390" si="539">N382*(1+O$104)</f>
        <v>6</v>
      </c>
      <c r="P382" s="135">
        <f t="shared" ref="P382:P390" si="540">O382*(1+P$104)</f>
        <v>6</v>
      </c>
    </row>
    <row r="383" spans="1:16" ht="12.75" customHeight="1" x14ac:dyDescent="0.25">
      <c r="B383" s="134"/>
      <c r="C383" s="108" t="s">
        <v>214</v>
      </c>
      <c r="D383" s="108"/>
      <c r="E383" s="626"/>
      <c r="F383" s="146">
        <f t="shared" ref="F383:I383" si="541">E383*(1+F$104)</f>
        <v>0</v>
      </c>
      <c r="G383" s="194">
        <f t="shared" si="541"/>
        <v>0</v>
      </c>
      <c r="H383" s="135">
        <f t="shared" si="541"/>
        <v>0</v>
      </c>
      <c r="I383" s="135">
        <f t="shared" si="541"/>
        <v>0</v>
      </c>
      <c r="J383" s="135">
        <f t="shared" si="534"/>
        <v>0</v>
      </c>
      <c r="K383" s="135">
        <f t="shared" si="535"/>
        <v>0</v>
      </c>
      <c r="L383" s="135">
        <f t="shared" si="536"/>
        <v>0</v>
      </c>
      <c r="M383" s="135">
        <f t="shared" si="537"/>
        <v>0</v>
      </c>
      <c r="N383" s="135">
        <f t="shared" si="538"/>
        <v>0</v>
      </c>
      <c r="O383" s="135">
        <f t="shared" si="539"/>
        <v>0</v>
      </c>
      <c r="P383" s="135">
        <f t="shared" si="540"/>
        <v>0</v>
      </c>
    </row>
    <row r="384" spans="1:16" ht="12.75" customHeight="1" x14ac:dyDescent="0.25">
      <c r="B384" s="134"/>
      <c r="C384" s="108" t="s">
        <v>207</v>
      </c>
      <c r="D384" s="108"/>
      <c r="E384" s="626"/>
      <c r="F384" s="146">
        <f t="shared" ref="F384:I384" si="542">E384*(1+F$104)</f>
        <v>0</v>
      </c>
      <c r="G384" s="194">
        <f t="shared" si="542"/>
        <v>0</v>
      </c>
      <c r="H384" s="135">
        <f t="shared" si="542"/>
        <v>0</v>
      </c>
      <c r="I384" s="135">
        <f t="shared" si="542"/>
        <v>0</v>
      </c>
      <c r="J384" s="135">
        <f t="shared" si="534"/>
        <v>0</v>
      </c>
      <c r="K384" s="135">
        <f t="shared" si="535"/>
        <v>0</v>
      </c>
      <c r="L384" s="135">
        <f t="shared" si="536"/>
        <v>0</v>
      </c>
      <c r="M384" s="135">
        <f t="shared" si="537"/>
        <v>0</v>
      </c>
      <c r="N384" s="135">
        <f t="shared" si="538"/>
        <v>0</v>
      </c>
      <c r="O384" s="135">
        <f t="shared" si="539"/>
        <v>0</v>
      </c>
      <c r="P384" s="135">
        <f t="shared" si="540"/>
        <v>0</v>
      </c>
    </row>
    <row r="385" spans="1:16" ht="12.75" customHeight="1" x14ac:dyDescent="0.25">
      <c r="B385" s="134"/>
      <c r="C385" s="108" t="s">
        <v>208</v>
      </c>
      <c r="D385" s="108"/>
      <c r="E385" s="626"/>
      <c r="F385" s="146">
        <f t="shared" ref="F385:I385" si="543">E385*(1+F$104)</f>
        <v>0</v>
      </c>
      <c r="G385" s="194">
        <f t="shared" si="543"/>
        <v>0</v>
      </c>
      <c r="H385" s="135">
        <f t="shared" si="543"/>
        <v>0</v>
      </c>
      <c r="I385" s="135">
        <f t="shared" si="543"/>
        <v>0</v>
      </c>
      <c r="J385" s="135">
        <f t="shared" si="534"/>
        <v>0</v>
      </c>
      <c r="K385" s="135">
        <f t="shared" si="535"/>
        <v>0</v>
      </c>
      <c r="L385" s="135">
        <f t="shared" si="536"/>
        <v>0</v>
      </c>
      <c r="M385" s="135">
        <f t="shared" si="537"/>
        <v>0</v>
      </c>
      <c r="N385" s="135">
        <f t="shared" si="538"/>
        <v>0</v>
      </c>
      <c r="O385" s="135">
        <f t="shared" si="539"/>
        <v>0</v>
      </c>
      <c r="P385" s="135">
        <f t="shared" si="540"/>
        <v>0</v>
      </c>
    </row>
    <row r="386" spans="1:16" ht="12.75" customHeight="1" x14ac:dyDescent="0.25">
      <c r="B386" s="134"/>
      <c r="C386" s="108" t="s">
        <v>209</v>
      </c>
      <c r="D386" s="108"/>
      <c r="E386" s="626"/>
      <c r="F386" s="146">
        <f t="shared" ref="F386:I386" si="544">E386*(1+F$104)</f>
        <v>0</v>
      </c>
      <c r="G386" s="194">
        <f t="shared" si="544"/>
        <v>0</v>
      </c>
      <c r="H386" s="135">
        <f t="shared" si="544"/>
        <v>0</v>
      </c>
      <c r="I386" s="135">
        <f t="shared" si="544"/>
        <v>0</v>
      </c>
      <c r="J386" s="135">
        <f t="shared" si="534"/>
        <v>0</v>
      </c>
      <c r="K386" s="135">
        <f t="shared" si="535"/>
        <v>0</v>
      </c>
      <c r="L386" s="135">
        <f t="shared" si="536"/>
        <v>0</v>
      </c>
      <c r="M386" s="135">
        <f t="shared" si="537"/>
        <v>0</v>
      </c>
      <c r="N386" s="135">
        <f t="shared" si="538"/>
        <v>0</v>
      </c>
      <c r="O386" s="135">
        <f t="shared" si="539"/>
        <v>0</v>
      </c>
      <c r="P386" s="135">
        <f t="shared" si="540"/>
        <v>0</v>
      </c>
    </row>
    <row r="387" spans="1:16" ht="12.75" customHeight="1" x14ac:dyDescent="0.25">
      <c r="B387" s="134"/>
      <c r="C387" s="108" t="s">
        <v>210</v>
      </c>
      <c r="D387" s="108"/>
      <c r="E387" s="626"/>
      <c r="F387" s="146">
        <f t="shared" ref="F387:I387" si="545">E387*(1+F$104)</f>
        <v>0</v>
      </c>
      <c r="G387" s="194">
        <f t="shared" si="545"/>
        <v>0</v>
      </c>
      <c r="H387" s="135">
        <f t="shared" si="545"/>
        <v>0</v>
      </c>
      <c r="I387" s="135">
        <f t="shared" si="545"/>
        <v>0</v>
      </c>
      <c r="J387" s="135">
        <f t="shared" si="534"/>
        <v>0</v>
      </c>
      <c r="K387" s="135">
        <f t="shared" si="535"/>
        <v>0</v>
      </c>
      <c r="L387" s="135">
        <f t="shared" si="536"/>
        <v>0</v>
      </c>
      <c r="M387" s="135">
        <f t="shared" si="537"/>
        <v>0</v>
      </c>
      <c r="N387" s="135">
        <f t="shared" si="538"/>
        <v>0</v>
      </c>
      <c r="O387" s="135">
        <f t="shared" si="539"/>
        <v>0</v>
      </c>
      <c r="P387" s="135">
        <f t="shared" si="540"/>
        <v>0</v>
      </c>
    </row>
    <row r="388" spans="1:16" ht="12.75" customHeight="1" x14ac:dyDescent="0.25">
      <c r="B388" s="134"/>
      <c r="C388" s="108" t="s">
        <v>211</v>
      </c>
      <c r="D388" s="108"/>
      <c r="E388" s="626"/>
      <c r="F388" s="146">
        <f t="shared" ref="F388:I388" si="546">E388*(1+F$104)</f>
        <v>0</v>
      </c>
      <c r="G388" s="194">
        <f t="shared" si="546"/>
        <v>0</v>
      </c>
      <c r="H388" s="135">
        <f t="shared" si="546"/>
        <v>0</v>
      </c>
      <c r="I388" s="135">
        <f t="shared" si="546"/>
        <v>0</v>
      </c>
      <c r="J388" s="135">
        <f t="shared" si="534"/>
        <v>0</v>
      </c>
      <c r="K388" s="135">
        <f t="shared" si="535"/>
        <v>0</v>
      </c>
      <c r="L388" s="135">
        <f t="shared" si="536"/>
        <v>0</v>
      </c>
      <c r="M388" s="135">
        <f t="shared" si="537"/>
        <v>0</v>
      </c>
      <c r="N388" s="135">
        <f t="shared" si="538"/>
        <v>0</v>
      </c>
      <c r="O388" s="135">
        <f t="shared" si="539"/>
        <v>0</v>
      </c>
      <c r="P388" s="135">
        <f t="shared" si="540"/>
        <v>0</v>
      </c>
    </row>
    <row r="389" spans="1:16" ht="12.75" customHeight="1" x14ac:dyDescent="0.25">
      <c r="B389" s="134"/>
      <c r="C389" s="108" t="s">
        <v>212</v>
      </c>
      <c r="D389" s="108"/>
      <c r="E389" s="626"/>
      <c r="F389" s="146">
        <f t="shared" ref="F389:I389" si="547">E389*(1+F$104)</f>
        <v>0</v>
      </c>
      <c r="G389" s="194">
        <f t="shared" si="547"/>
        <v>0</v>
      </c>
      <c r="H389" s="135">
        <f t="shared" si="547"/>
        <v>0</v>
      </c>
      <c r="I389" s="135">
        <f t="shared" si="547"/>
        <v>0</v>
      </c>
      <c r="J389" s="135">
        <f t="shared" si="534"/>
        <v>0</v>
      </c>
      <c r="K389" s="135">
        <f t="shared" si="535"/>
        <v>0</v>
      </c>
      <c r="L389" s="135">
        <f t="shared" si="536"/>
        <v>0</v>
      </c>
      <c r="M389" s="135">
        <f t="shared" si="537"/>
        <v>0</v>
      </c>
      <c r="N389" s="135">
        <f t="shared" si="538"/>
        <v>0</v>
      </c>
      <c r="O389" s="135">
        <f t="shared" si="539"/>
        <v>0</v>
      </c>
      <c r="P389" s="135">
        <f t="shared" si="540"/>
        <v>0</v>
      </c>
    </row>
    <row r="390" spans="1:16" ht="12.75" customHeight="1" x14ac:dyDescent="0.25">
      <c r="A390" s="73"/>
      <c r="B390" s="133"/>
      <c r="C390" s="136" t="s">
        <v>213</v>
      </c>
      <c r="D390" s="136"/>
      <c r="E390" s="627"/>
      <c r="F390" s="147">
        <f t="shared" ref="F390:I390" si="548">E390*(1+F$104)</f>
        <v>0</v>
      </c>
      <c r="G390" s="195">
        <f t="shared" si="548"/>
        <v>0</v>
      </c>
      <c r="H390" s="132">
        <f t="shared" si="548"/>
        <v>0</v>
      </c>
      <c r="I390" s="132">
        <f t="shared" si="548"/>
        <v>0</v>
      </c>
      <c r="J390" s="132">
        <f t="shared" si="534"/>
        <v>0</v>
      </c>
      <c r="K390" s="132">
        <f t="shared" si="535"/>
        <v>0</v>
      </c>
      <c r="L390" s="132">
        <f t="shared" si="536"/>
        <v>0</v>
      </c>
      <c r="M390" s="132">
        <f t="shared" si="537"/>
        <v>0</v>
      </c>
      <c r="N390" s="132">
        <f t="shared" si="538"/>
        <v>0</v>
      </c>
      <c r="O390" s="132">
        <f t="shared" si="539"/>
        <v>0</v>
      </c>
      <c r="P390" s="132">
        <f t="shared" si="540"/>
        <v>0</v>
      </c>
    </row>
    <row r="391" spans="1:16" ht="12.75" customHeight="1" x14ac:dyDescent="0.25">
      <c r="B391" s="134"/>
      <c r="C391" s="108" t="s">
        <v>219</v>
      </c>
      <c r="D391" s="108"/>
      <c r="E391" s="135">
        <f t="shared" ref="E391:I391" si="549">SUM(E382:E390)</f>
        <v>6</v>
      </c>
      <c r="F391" s="135">
        <f t="shared" si="549"/>
        <v>6</v>
      </c>
      <c r="G391" s="194">
        <f t="shared" si="549"/>
        <v>6</v>
      </c>
      <c r="H391" s="135">
        <f t="shared" si="549"/>
        <v>6</v>
      </c>
      <c r="I391" s="135">
        <f t="shared" si="549"/>
        <v>6</v>
      </c>
      <c r="J391" s="135">
        <f t="shared" ref="J391:P391" si="550">SUM(J382:J390)</f>
        <v>6</v>
      </c>
      <c r="K391" s="135">
        <f t="shared" si="550"/>
        <v>6</v>
      </c>
      <c r="L391" s="135">
        <f t="shared" si="550"/>
        <v>6</v>
      </c>
      <c r="M391" s="135">
        <f t="shared" si="550"/>
        <v>6</v>
      </c>
      <c r="N391" s="135">
        <f t="shared" si="550"/>
        <v>6</v>
      </c>
      <c r="O391" s="135">
        <f t="shared" si="550"/>
        <v>6</v>
      </c>
      <c r="P391" s="135">
        <f t="shared" si="550"/>
        <v>6</v>
      </c>
    </row>
    <row r="392" spans="1:16" ht="12.75" customHeight="1" x14ac:dyDescent="0.25">
      <c r="B392" s="134"/>
      <c r="C392" s="108"/>
      <c r="D392" s="108"/>
      <c r="E392" s="135"/>
      <c r="F392" s="135"/>
      <c r="G392" s="194"/>
      <c r="H392" s="135"/>
      <c r="I392" s="135"/>
      <c r="J392" s="135"/>
      <c r="K392" s="135"/>
      <c r="L392" s="135"/>
      <c r="M392" s="135"/>
      <c r="N392" s="135"/>
      <c r="O392" s="135"/>
      <c r="P392" s="135"/>
    </row>
    <row r="393" spans="1:16" ht="12.75" customHeight="1" x14ac:dyDescent="0.25">
      <c r="B393" s="110" t="s">
        <v>297</v>
      </c>
      <c r="C393" s="108"/>
      <c r="D393" s="108"/>
      <c r="E393" s="25"/>
      <c r="F393" s="25"/>
      <c r="G393" s="182"/>
      <c r="H393" s="25"/>
      <c r="I393" s="25"/>
      <c r="J393" s="25"/>
      <c r="K393" s="25"/>
      <c r="L393" s="25"/>
      <c r="M393" s="25"/>
      <c r="N393" s="25"/>
      <c r="O393" s="25"/>
      <c r="P393" s="25"/>
    </row>
    <row r="394" spans="1:16" ht="12.75" customHeight="1" x14ac:dyDescent="0.25">
      <c r="B394" s="134"/>
      <c r="C394" s="108" t="s">
        <v>206</v>
      </c>
      <c r="D394" s="108"/>
      <c r="E394" s="626"/>
      <c r="F394" s="146">
        <f>E394*(1+F$105)</f>
        <v>0</v>
      </c>
      <c r="G394" s="194">
        <f t="shared" ref="G394:I394" si="551">F394*(1+G$105)</f>
        <v>0</v>
      </c>
      <c r="H394" s="135">
        <f t="shared" si="551"/>
        <v>0</v>
      </c>
      <c r="I394" s="135">
        <f t="shared" si="551"/>
        <v>0</v>
      </c>
      <c r="J394" s="135">
        <f t="shared" ref="J394:J402" si="552">I394*(1+J$105)</f>
        <v>0</v>
      </c>
      <c r="K394" s="135">
        <f t="shared" ref="K394:K402" si="553">J394*(1+K$105)</f>
        <v>0</v>
      </c>
      <c r="L394" s="135">
        <f t="shared" ref="L394:L402" si="554">K394*(1+L$105)</f>
        <v>0</v>
      </c>
      <c r="M394" s="135">
        <f t="shared" ref="M394:M402" si="555">L394*(1+M$105)</f>
        <v>0</v>
      </c>
      <c r="N394" s="135">
        <f t="shared" ref="N394:N402" si="556">M394*(1+N$105)</f>
        <v>0</v>
      </c>
      <c r="O394" s="135">
        <f t="shared" ref="O394:O402" si="557">N394*(1+O$105)</f>
        <v>0</v>
      </c>
      <c r="P394" s="135">
        <f t="shared" ref="P394:P402" si="558">O394*(1+P$105)</f>
        <v>0</v>
      </c>
    </row>
    <row r="395" spans="1:16" ht="12.75" customHeight="1" x14ac:dyDescent="0.25">
      <c r="B395" s="134"/>
      <c r="C395" s="108" t="s">
        <v>214</v>
      </c>
      <c r="D395" s="108"/>
      <c r="E395" s="626"/>
      <c r="F395" s="146">
        <f t="shared" ref="F395:I395" si="559">E395*(1+F$105)</f>
        <v>0</v>
      </c>
      <c r="G395" s="194">
        <f t="shared" si="559"/>
        <v>0</v>
      </c>
      <c r="H395" s="135">
        <f t="shared" si="559"/>
        <v>0</v>
      </c>
      <c r="I395" s="135">
        <f t="shared" si="559"/>
        <v>0</v>
      </c>
      <c r="J395" s="135">
        <f t="shared" si="552"/>
        <v>0</v>
      </c>
      <c r="K395" s="135">
        <f t="shared" si="553"/>
        <v>0</v>
      </c>
      <c r="L395" s="135">
        <f t="shared" si="554"/>
        <v>0</v>
      </c>
      <c r="M395" s="135">
        <f t="shared" si="555"/>
        <v>0</v>
      </c>
      <c r="N395" s="135">
        <f t="shared" si="556"/>
        <v>0</v>
      </c>
      <c r="O395" s="135">
        <f t="shared" si="557"/>
        <v>0</v>
      </c>
      <c r="P395" s="135">
        <f t="shared" si="558"/>
        <v>0</v>
      </c>
    </row>
    <row r="396" spans="1:16" ht="12.75" customHeight="1" x14ac:dyDescent="0.25">
      <c r="B396" s="134"/>
      <c r="C396" s="108" t="s">
        <v>207</v>
      </c>
      <c r="D396" s="108"/>
      <c r="E396" s="626"/>
      <c r="F396" s="146">
        <f t="shared" ref="F396:I396" si="560">E396*(1+F$105)</f>
        <v>0</v>
      </c>
      <c r="G396" s="194">
        <f t="shared" si="560"/>
        <v>0</v>
      </c>
      <c r="H396" s="135">
        <f t="shared" si="560"/>
        <v>0</v>
      </c>
      <c r="I396" s="135">
        <f t="shared" si="560"/>
        <v>0</v>
      </c>
      <c r="J396" s="135">
        <f t="shared" si="552"/>
        <v>0</v>
      </c>
      <c r="K396" s="135">
        <f t="shared" si="553"/>
        <v>0</v>
      </c>
      <c r="L396" s="135">
        <f t="shared" si="554"/>
        <v>0</v>
      </c>
      <c r="M396" s="135">
        <f t="shared" si="555"/>
        <v>0</v>
      </c>
      <c r="N396" s="135">
        <f t="shared" si="556"/>
        <v>0</v>
      </c>
      <c r="O396" s="135">
        <f t="shared" si="557"/>
        <v>0</v>
      </c>
      <c r="P396" s="135">
        <f t="shared" si="558"/>
        <v>0</v>
      </c>
    </row>
    <row r="397" spans="1:16" ht="12.75" customHeight="1" x14ac:dyDescent="0.25">
      <c r="B397" s="134"/>
      <c r="C397" s="108" t="s">
        <v>208</v>
      </c>
      <c r="D397" s="108"/>
      <c r="E397" s="626"/>
      <c r="F397" s="146">
        <f t="shared" ref="F397:I397" si="561">E397*(1+F$105)</f>
        <v>0</v>
      </c>
      <c r="G397" s="194">
        <f t="shared" si="561"/>
        <v>0</v>
      </c>
      <c r="H397" s="135">
        <f t="shared" si="561"/>
        <v>0</v>
      </c>
      <c r="I397" s="135">
        <f t="shared" si="561"/>
        <v>0</v>
      </c>
      <c r="J397" s="135">
        <f t="shared" si="552"/>
        <v>0</v>
      </c>
      <c r="K397" s="135">
        <f t="shared" si="553"/>
        <v>0</v>
      </c>
      <c r="L397" s="135">
        <f t="shared" si="554"/>
        <v>0</v>
      </c>
      <c r="M397" s="135">
        <f t="shared" si="555"/>
        <v>0</v>
      </c>
      <c r="N397" s="135">
        <f t="shared" si="556"/>
        <v>0</v>
      </c>
      <c r="O397" s="135">
        <f t="shared" si="557"/>
        <v>0</v>
      </c>
      <c r="P397" s="135">
        <f t="shared" si="558"/>
        <v>0</v>
      </c>
    </row>
    <row r="398" spans="1:16" ht="12.75" customHeight="1" x14ac:dyDescent="0.25">
      <c r="B398" s="134"/>
      <c r="C398" s="108" t="s">
        <v>209</v>
      </c>
      <c r="D398" s="108"/>
      <c r="E398" s="626"/>
      <c r="F398" s="146">
        <f t="shared" ref="F398:I398" si="562">E398*(1+F$105)</f>
        <v>0</v>
      </c>
      <c r="G398" s="194">
        <f t="shared" si="562"/>
        <v>0</v>
      </c>
      <c r="H398" s="135">
        <f t="shared" si="562"/>
        <v>0</v>
      </c>
      <c r="I398" s="135">
        <f t="shared" si="562"/>
        <v>0</v>
      </c>
      <c r="J398" s="135">
        <f t="shared" si="552"/>
        <v>0</v>
      </c>
      <c r="K398" s="135">
        <f t="shared" si="553"/>
        <v>0</v>
      </c>
      <c r="L398" s="135">
        <f t="shared" si="554"/>
        <v>0</v>
      </c>
      <c r="M398" s="135">
        <f t="shared" si="555"/>
        <v>0</v>
      </c>
      <c r="N398" s="135">
        <f t="shared" si="556"/>
        <v>0</v>
      </c>
      <c r="O398" s="135">
        <f t="shared" si="557"/>
        <v>0</v>
      </c>
      <c r="P398" s="135">
        <f t="shared" si="558"/>
        <v>0</v>
      </c>
    </row>
    <row r="399" spans="1:16" ht="12.75" customHeight="1" x14ac:dyDescent="0.25">
      <c r="B399" s="134"/>
      <c r="C399" s="108" t="s">
        <v>210</v>
      </c>
      <c r="D399" s="108"/>
      <c r="E399" s="626"/>
      <c r="F399" s="146">
        <f t="shared" ref="F399:I399" si="563">E399*(1+F$105)</f>
        <v>0</v>
      </c>
      <c r="G399" s="194">
        <f t="shared" si="563"/>
        <v>0</v>
      </c>
      <c r="H399" s="135">
        <f t="shared" si="563"/>
        <v>0</v>
      </c>
      <c r="I399" s="135">
        <f t="shared" si="563"/>
        <v>0</v>
      </c>
      <c r="J399" s="135">
        <f t="shared" si="552"/>
        <v>0</v>
      </c>
      <c r="K399" s="135">
        <f t="shared" si="553"/>
        <v>0</v>
      </c>
      <c r="L399" s="135">
        <f t="shared" si="554"/>
        <v>0</v>
      </c>
      <c r="M399" s="135">
        <f t="shared" si="555"/>
        <v>0</v>
      </c>
      <c r="N399" s="135">
        <f t="shared" si="556"/>
        <v>0</v>
      </c>
      <c r="O399" s="135">
        <f t="shared" si="557"/>
        <v>0</v>
      </c>
      <c r="P399" s="135">
        <f t="shared" si="558"/>
        <v>0</v>
      </c>
    </row>
    <row r="400" spans="1:16" ht="12.75" customHeight="1" x14ac:dyDescent="0.25">
      <c r="B400" s="134"/>
      <c r="C400" s="108" t="s">
        <v>211</v>
      </c>
      <c r="D400" s="108"/>
      <c r="E400" s="626"/>
      <c r="F400" s="146">
        <f t="shared" ref="F400:I400" si="564">E400*(1+F$105)</f>
        <v>0</v>
      </c>
      <c r="G400" s="194">
        <f t="shared" si="564"/>
        <v>0</v>
      </c>
      <c r="H400" s="135">
        <f t="shared" si="564"/>
        <v>0</v>
      </c>
      <c r="I400" s="135">
        <f t="shared" si="564"/>
        <v>0</v>
      </c>
      <c r="J400" s="135">
        <f t="shared" si="552"/>
        <v>0</v>
      </c>
      <c r="K400" s="135">
        <f t="shared" si="553"/>
        <v>0</v>
      </c>
      <c r="L400" s="135">
        <f t="shared" si="554"/>
        <v>0</v>
      </c>
      <c r="M400" s="135">
        <f t="shared" si="555"/>
        <v>0</v>
      </c>
      <c r="N400" s="135">
        <f t="shared" si="556"/>
        <v>0</v>
      </c>
      <c r="O400" s="135">
        <f t="shared" si="557"/>
        <v>0</v>
      </c>
      <c r="P400" s="135">
        <f t="shared" si="558"/>
        <v>0</v>
      </c>
    </row>
    <row r="401" spans="1:16" ht="12.75" customHeight="1" x14ac:dyDescent="0.25">
      <c r="B401" s="134"/>
      <c r="C401" s="108" t="s">
        <v>212</v>
      </c>
      <c r="D401" s="108"/>
      <c r="E401" s="626"/>
      <c r="F401" s="146">
        <f t="shared" ref="F401:I401" si="565">E401*(1+F$105)</f>
        <v>0</v>
      </c>
      <c r="G401" s="194">
        <f t="shared" si="565"/>
        <v>0</v>
      </c>
      <c r="H401" s="135">
        <f t="shared" si="565"/>
        <v>0</v>
      </c>
      <c r="I401" s="135">
        <f t="shared" si="565"/>
        <v>0</v>
      </c>
      <c r="J401" s="135">
        <f t="shared" si="552"/>
        <v>0</v>
      </c>
      <c r="K401" s="135">
        <f t="shared" si="553"/>
        <v>0</v>
      </c>
      <c r="L401" s="135">
        <f t="shared" si="554"/>
        <v>0</v>
      </c>
      <c r="M401" s="135">
        <f t="shared" si="555"/>
        <v>0</v>
      </c>
      <c r="N401" s="135">
        <f t="shared" si="556"/>
        <v>0</v>
      </c>
      <c r="O401" s="135">
        <f t="shared" si="557"/>
        <v>0</v>
      </c>
      <c r="P401" s="135">
        <f t="shared" si="558"/>
        <v>0</v>
      </c>
    </row>
    <row r="402" spans="1:16" ht="12.75" customHeight="1" x14ac:dyDescent="0.25">
      <c r="A402" s="73"/>
      <c r="B402" s="133"/>
      <c r="C402" s="136" t="s">
        <v>213</v>
      </c>
      <c r="D402" s="136"/>
      <c r="E402" s="627"/>
      <c r="F402" s="147">
        <f t="shared" ref="F402:I402" si="566">E402*(1+F$105)</f>
        <v>0</v>
      </c>
      <c r="G402" s="195">
        <f t="shared" si="566"/>
        <v>0</v>
      </c>
      <c r="H402" s="132">
        <f t="shared" si="566"/>
        <v>0</v>
      </c>
      <c r="I402" s="132">
        <f t="shared" si="566"/>
        <v>0</v>
      </c>
      <c r="J402" s="132">
        <f t="shared" si="552"/>
        <v>0</v>
      </c>
      <c r="K402" s="132">
        <f t="shared" si="553"/>
        <v>0</v>
      </c>
      <c r="L402" s="132">
        <f t="shared" si="554"/>
        <v>0</v>
      </c>
      <c r="M402" s="132">
        <f t="shared" si="555"/>
        <v>0</v>
      </c>
      <c r="N402" s="132">
        <f t="shared" si="556"/>
        <v>0</v>
      </c>
      <c r="O402" s="132">
        <f t="shared" si="557"/>
        <v>0</v>
      </c>
      <c r="P402" s="132">
        <f t="shared" si="558"/>
        <v>0</v>
      </c>
    </row>
    <row r="403" spans="1:16" ht="12.75" customHeight="1" x14ac:dyDescent="0.25">
      <c r="B403" s="134"/>
      <c r="C403" s="108" t="s">
        <v>219</v>
      </c>
      <c r="D403" s="108"/>
      <c r="E403" s="135">
        <f t="shared" ref="E403:I403" si="567">SUM(E394:E402)</f>
        <v>0</v>
      </c>
      <c r="F403" s="135">
        <f t="shared" si="567"/>
        <v>0</v>
      </c>
      <c r="G403" s="194">
        <f t="shared" si="567"/>
        <v>0</v>
      </c>
      <c r="H403" s="135">
        <f t="shared" si="567"/>
        <v>0</v>
      </c>
      <c r="I403" s="135">
        <f t="shared" si="567"/>
        <v>0</v>
      </c>
      <c r="J403" s="135">
        <f t="shared" ref="J403:P403" si="568">SUM(J394:J402)</f>
        <v>0</v>
      </c>
      <c r="K403" s="135">
        <f t="shared" si="568"/>
        <v>0</v>
      </c>
      <c r="L403" s="135">
        <f t="shared" si="568"/>
        <v>0</v>
      </c>
      <c r="M403" s="135">
        <f t="shared" si="568"/>
        <v>0</v>
      </c>
      <c r="N403" s="135">
        <f t="shared" si="568"/>
        <v>0</v>
      </c>
      <c r="O403" s="135">
        <f t="shared" si="568"/>
        <v>0</v>
      </c>
      <c r="P403" s="135">
        <f t="shared" si="568"/>
        <v>0</v>
      </c>
    </row>
    <row r="404" spans="1:16" ht="12.75" customHeight="1" x14ac:dyDescent="0.25">
      <c r="B404" s="134"/>
      <c r="C404" s="108"/>
      <c r="D404" s="108"/>
      <c r="E404" s="135"/>
      <c r="F404" s="135"/>
      <c r="G404" s="194"/>
      <c r="H404" s="135"/>
      <c r="I404" s="135"/>
      <c r="J404" s="135"/>
      <c r="K404" s="135"/>
      <c r="L404" s="135"/>
      <c r="M404" s="135"/>
      <c r="N404" s="135"/>
      <c r="O404" s="135"/>
      <c r="P404" s="135"/>
    </row>
    <row r="405" spans="1:16" ht="12.75" customHeight="1" x14ac:dyDescent="0.25">
      <c r="B405" s="29" t="s">
        <v>297</v>
      </c>
      <c r="C405" s="108"/>
      <c r="D405" s="108"/>
      <c r="E405" s="25"/>
      <c r="F405" s="25"/>
      <c r="G405" s="182"/>
      <c r="H405" s="25"/>
      <c r="I405" s="25"/>
      <c r="J405" s="25"/>
      <c r="K405" s="25"/>
      <c r="L405" s="25"/>
      <c r="M405" s="25"/>
      <c r="N405" s="25"/>
      <c r="O405" s="25"/>
      <c r="P405" s="25"/>
    </row>
    <row r="406" spans="1:16" ht="12.75" customHeight="1" x14ac:dyDescent="0.25">
      <c r="B406" s="134"/>
      <c r="C406" s="108" t="s">
        <v>206</v>
      </c>
      <c r="D406" s="108"/>
      <c r="E406" s="626"/>
      <c r="F406" s="146">
        <f>E406*(1+F$106)</f>
        <v>0</v>
      </c>
      <c r="G406" s="194">
        <f t="shared" ref="G406:I406" si="569">F406*(1+G$106)</f>
        <v>0</v>
      </c>
      <c r="H406" s="135">
        <f t="shared" si="569"/>
        <v>0</v>
      </c>
      <c r="I406" s="135">
        <f t="shared" si="569"/>
        <v>0</v>
      </c>
      <c r="J406" s="135">
        <f t="shared" ref="J406:J414" si="570">I406*(1+J$106)</f>
        <v>0</v>
      </c>
      <c r="K406" s="135">
        <f t="shared" ref="K406:K414" si="571">J406*(1+K$106)</f>
        <v>0</v>
      </c>
      <c r="L406" s="135">
        <f t="shared" ref="L406:L414" si="572">K406*(1+L$106)</f>
        <v>0</v>
      </c>
      <c r="M406" s="135">
        <f t="shared" ref="M406:M414" si="573">L406*(1+M$106)</f>
        <v>0</v>
      </c>
      <c r="N406" s="135">
        <f t="shared" ref="N406:N414" si="574">M406*(1+N$106)</f>
        <v>0</v>
      </c>
      <c r="O406" s="135">
        <f t="shared" ref="O406:O414" si="575">N406*(1+O$106)</f>
        <v>0</v>
      </c>
      <c r="P406" s="135">
        <f t="shared" ref="P406:P414" si="576">O406*(1+P$106)</f>
        <v>0</v>
      </c>
    </row>
    <row r="407" spans="1:16" ht="12.75" customHeight="1" x14ac:dyDescent="0.25">
      <c r="B407" s="134"/>
      <c r="C407" s="108" t="s">
        <v>214</v>
      </c>
      <c r="D407" s="108"/>
      <c r="E407" s="626"/>
      <c r="F407" s="146">
        <f t="shared" ref="F407:I407" si="577">E407*(1+F$106)</f>
        <v>0</v>
      </c>
      <c r="G407" s="194">
        <f t="shared" si="577"/>
        <v>0</v>
      </c>
      <c r="H407" s="135">
        <f t="shared" si="577"/>
        <v>0</v>
      </c>
      <c r="I407" s="135">
        <f t="shared" si="577"/>
        <v>0</v>
      </c>
      <c r="J407" s="135">
        <f t="shared" si="570"/>
        <v>0</v>
      </c>
      <c r="K407" s="135">
        <f t="shared" si="571"/>
        <v>0</v>
      </c>
      <c r="L407" s="135">
        <f t="shared" si="572"/>
        <v>0</v>
      </c>
      <c r="M407" s="135">
        <f t="shared" si="573"/>
        <v>0</v>
      </c>
      <c r="N407" s="135">
        <f t="shared" si="574"/>
        <v>0</v>
      </c>
      <c r="O407" s="135">
        <f t="shared" si="575"/>
        <v>0</v>
      </c>
      <c r="P407" s="135">
        <f t="shared" si="576"/>
        <v>0</v>
      </c>
    </row>
    <row r="408" spans="1:16" ht="12.75" customHeight="1" x14ac:dyDescent="0.25">
      <c r="B408" s="134"/>
      <c r="C408" s="108" t="s">
        <v>207</v>
      </c>
      <c r="D408" s="108"/>
      <c r="E408" s="626"/>
      <c r="F408" s="146">
        <f t="shared" ref="F408:I408" si="578">E408*(1+F$106)</f>
        <v>0</v>
      </c>
      <c r="G408" s="194">
        <f t="shared" si="578"/>
        <v>0</v>
      </c>
      <c r="H408" s="135">
        <f t="shared" si="578"/>
        <v>0</v>
      </c>
      <c r="I408" s="135">
        <f t="shared" si="578"/>
        <v>0</v>
      </c>
      <c r="J408" s="135">
        <f t="shared" si="570"/>
        <v>0</v>
      </c>
      <c r="K408" s="135">
        <f t="shared" si="571"/>
        <v>0</v>
      </c>
      <c r="L408" s="135">
        <f t="shared" si="572"/>
        <v>0</v>
      </c>
      <c r="M408" s="135">
        <f t="shared" si="573"/>
        <v>0</v>
      </c>
      <c r="N408" s="135">
        <f t="shared" si="574"/>
        <v>0</v>
      </c>
      <c r="O408" s="135">
        <f t="shared" si="575"/>
        <v>0</v>
      </c>
      <c r="P408" s="135">
        <f t="shared" si="576"/>
        <v>0</v>
      </c>
    </row>
    <row r="409" spans="1:16" ht="12.75" customHeight="1" x14ac:dyDescent="0.25">
      <c r="B409" s="134"/>
      <c r="C409" s="108" t="s">
        <v>208</v>
      </c>
      <c r="D409" s="108"/>
      <c r="E409" s="626"/>
      <c r="F409" s="146">
        <f t="shared" ref="F409:I409" si="579">E409*(1+F$106)</f>
        <v>0</v>
      </c>
      <c r="G409" s="194">
        <f t="shared" si="579"/>
        <v>0</v>
      </c>
      <c r="H409" s="135">
        <f t="shared" si="579"/>
        <v>0</v>
      </c>
      <c r="I409" s="135">
        <f t="shared" si="579"/>
        <v>0</v>
      </c>
      <c r="J409" s="135">
        <f t="shared" si="570"/>
        <v>0</v>
      </c>
      <c r="K409" s="135">
        <f t="shared" si="571"/>
        <v>0</v>
      </c>
      <c r="L409" s="135">
        <f t="shared" si="572"/>
        <v>0</v>
      </c>
      <c r="M409" s="135">
        <f t="shared" si="573"/>
        <v>0</v>
      </c>
      <c r="N409" s="135">
        <f t="shared" si="574"/>
        <v>0</v>
      </c>
      <c r="O409" s="135">
        <f t="shared" si="575"/>
        <v>0</v>
      </c>
      <c r="P409" s="135">
        <f t="shared" si="576"/>
        <v>0</v>
      </c>
    </row>
    <row r="410" spans="1:16" ht="12.75" customHeight="1" x14ac:dyDescent="0.25">
      <c r="B410" s="134"/>
      <c r="C410" s="108" t="s">
        <v>209</v>
      </c>
      <c r="D410" s="108"/>
      <c r="E410" s="626"/>
      <c r="F410" s="146">
        <f t="shared" ref="F410:I410" si="580">E410*(1+F$106)</f>
        <v>0</v>
      </c>
      <c r="G410" s="194">
        <f t="shared" si="580"/>
        <v>0</v>
      </c>
      <c r="H410" s="135">
        <f t="shared" si="580"/>
        <v>0</v>
      </c>
      <c r="I410" s="135">
        <f t="shared" si="580"/>
        <v>0</v>
      </c>
      <c r="J410" s="135">
        <f t="shared" si="570"/>
        <v>0</v>
      </c>
      <c r="K410" s="135">
        <f t="shared" si="571"/>
        <v>0</v>
      </c>
      <c r="L410" s="135">
        <f t="shared" si="572"/>
        <v>0</v>
      </c>
      <c r="M410" s="135">
        <f t="shared" si="573"/>
        <v>0</v>
      </c>
      <c r="N410" s="135">
        <f t="shared" si="574"/>
        <v>0</v>
      </c>
      <c r="O410" s="135">
        <f t="shared" si="575"/>
        <v>0</v>
      </c>
      <c r="P410" s="135">
        <f t="shared" si="576"/>
        <v>0</v>
      </c>
    </row>
    <row r="411" spans="1:16" ht="12.75" customHeight="1" x14ac:dyDescent="0.25">
      <c r="B411" s="134"/>
      <c r="C411" s="108" t="s">
        <v>210</v>
      </c>
      <c r="D411" s="108"/>
      <c r="E411" s="626"/>
      <c r="F411" s="146">
        <f t="shared" ref="F411:I411" si="581">E411*(1+F$106)</f>
        <v>0</v>
      </c>
      <c r="G411" s="194">
        <f t="shared" si="581"/>
        <v>0</v>
      </c>
      <c r="H411" s="135">
        <f t="shared" si="581"/>
        <v>0</v>
      </c>
      <c r="I411" s="135">
        <f t="shared" si="581"/>
        <v>0</v>
      </c>
      <c r="J411" s="135">
        <f t="shared" si="570"/>
        <v>0</v>
      </c>
      <c r="K411" s="135">
        <f t="shared" si="571"/>
        <v>0</v>
      </c>
      <c r="L411" s="135">
        <f t="shared" si="572"/>
        <v>0</v>
      </c>
      <c r="M411" s="135">
        <f t="shared" si="573"/>
        <v>0</v>
      </c>
      <c r="N411" s="135">
        <f t="shared" si="574"/>
        <v>0</v>
      </c>
      <c r="O411" s="135">
        <f t="shared" si="575"/>
        <v>0</v>
      </c>
      <c r="P411" s="135">
        <f t="shared" si="576"/>
        <v>0</v>
      </c>
    </row>
    <row r="412" spans="1:16" ht="12.75" customHeight="1" x14ac:dyDescent="0.25">
      <c r="B412" s="134"/>
      <c r="C412" s="108" t="s">
        <v>211</v>
      </c>
      <c r="D412" s="108"/>
      <c r="E412" s="626"/>
      <c r="F412" s="146">
        <f t="shared" ref="F412:I412" si="582">E412*(1+F$106)</f>
        <v>0</v>
      </c>
      <c r="G412" s="194">
        <f t="shared" si="582"/>
        <v>0</v>
      </c>
      <c r="H412" s="135">
        <f t="shared" si="582"/>
        <v>0</v>
      </c>
      <c r="I412" s="135">
        <f t="shared" si="582"/>
        <v>0</v>
      </c>
      <c r="J412" s="135">
        <f t="shared" si="570"/>
        <v>0</v>
      </c>
      <c r="K412" s="135">
        <f t="shared" si="571"/>
        <v>0</v>
      </c>
      <c r="L412" s="135">
        <f t="shared" si="572"/>
        <v>0</v>
      </c>
      <c r="M412" s="135">
        <f t="shared" si="573"/>
        <v>0</v>
      </c>
      <c r="N412" s="135">
        <f t="shared" si="574"/>
        <v>0</v>
      </c>
      <c r="O412" s="135">
        <f t="shared" si="575"/>
        <v>0</v>
      </c>
      <c r="P412" s="135">
        <f t="shared" si="576"/>
        <v>0</v>
      </c>
    </row>
    <row r="413" spans="1:16" ht="12.75" customHeight="1" x14ac:dyDescent="0.25">
      <c r="B413" s="134"/>
      <c r="C413" s="108" t="s">
        <v>212</v>
      </c>
      <c r="D413" s="108"/>
      <c r="E413" s="626"/>
      <c r="F413" s="146">
        <f t="shared" ref="F413:I413" si="583">E413*(1+F$106)</f>
        <v>0</v>
      </c>
      <c r="G413" s="194">
        <f t="shared" si="583"/>
        <v>0</v>
      </c>
      <c r="H413" s="135">
        <f t="shared" si="583"/>
        <v>0</v>
      </c>
      <c r="I413" s="135">
        <f t="shared" si="583"/>
        <v>0</v>
      </c>
      <c r="J413" s="135">
        <f t="shared" si="570"/>
        <v>0</v>
      </c>
      <c r="K413" s="135">
        <f t="shared" si="571"/>
        <v>0</v>
      </c>
      <c r="L413" s="135">
        <f t="shared" si="572"/>
        <v>0</v>
      </c>
      <c r="M413" s="135">
        <f t="shared" si="573"/>
        <v>0</v>
      </c>
      <c r="N413" s="135">
        <f t="shared" si="574"/>
        <v>0</v>
      </c>
      <c r="O413" s="135">
        <f t="shared" si="575"/>
        <v>0</v>
      </c>
      <c r="P413" s="135">
        <f t="shared" si="576"/>
        <v>0</v>
      </c>
    </row>
    <row r="414" spans="1:16" ht="12.75" customHeight="1" x14ac:dyDescent="0.25">
      <c r="A414" s="73"/>
      <c r="B414" s="133"/>
      <c r="C414" s="136" t="s">
        <v>213</v>
      </c>
      <c r="D414" s="136"/>
      <c r="E414" s="627"/>
      <c r="F414" s="147">
        <f t="shared" ref="F414:I414" si="584">E414*(1+F$106)</f>
        <v>0</v>
      </c>
      <c r="G414" s="195">
        <f t="shared" si="584"/>
        <v>0</v>
      </c>
      <c r="H414" s="132">
        <f t="shared" si="584"/>
        <v>0</v>
      </c>
      <c r="I414" s="132">
        <f t="shared" si="584"/>
        <v>0</v>
      </c>
      <c r="J414" s="132">
        <f t="shared" si="570"/>
        <v>0</v>
      </c>
      <c r="K414" s="132">
        <f t="shared" si="571"/>
        <v>0</v>
      </c>
      <c r="L414" s="132">
        <f t="shared" si="572"/>
        <v>0</v>
      </c>
      <c r="M414" s="132">
        <f t="shared" si="573"/>
        <v>0</v>
      </c>
      <c r="N414" s="132">
        <f t="shared" si="574"/>
        <v>0</v>
      </c>
      <c r="O414" s="132">
        <f t="shared" si="575"/>
        <v>0</v>
      </c>
      <c r="P414" s="132">
        <f t="shared" si="576"/>
        <v>0</v>
      </c>
    </row>
    <row r="415" spans="1:16" ht="12.75" customHeight="1" x14ac:dyDescent="0.25">
      <c r="B415" s="134"/>
      <c r="C415" s="108" t="s">
        <v>219</v>
      </c>
      <c r="D415" s="108"/>
      <c r="E415" s="135">
        <f t="shared" ref="E415:I415" si="585">SUM(E406:E414)</f>
        <v>0</v>
      </c>
      <c r="F415" s="135">
        <f t="shared" si="585"/>
        <v>0</v>
      </c>
      <c r="G415" s="194">
        <f t="shared" si="585"/>
        <v>0</v>
      </c>
      <c r="H415" s="135">
        <f t="shared" si="585"/>
        <v>0</v>
      </c>
      <c r="I415" s="135">
        <f t="shared" si="585"/>
        <v>0</v>
      </c>
      <c r="J415" s="135">
        <f t="shared" ref="J415:P415" si="586">SUM(J406:J414)</f>
        <v>0</v>
      </c>
      <c r="K415" s="135">
        <f t="shared" si="586"/>
        <v>0</v>
      </c>
      <c r="L415" s="135">
        <f t="shared" si="586"/>
        <v>0</v>
      </c>
      <c r="M415" s="135">
        <f t="shared" si="586"/>
        <v>0</v>
      </c>
      <c r="N415" s="135">
        <f t="shared" si="586"/>
        <v>0</v>
      </c>
      <c r="O415" s="135">
        <f t="shared" si="586"/>
        <v>0</v>
      </c>
      <c r="P415" s="135">
        <f t="shared" si="586"/>
        <v>0</v>
      </c>
    </row>
    <row r="416" spans="1:16" ht="12.75" customHeight="1" thickBot="1" x14ac:dyDescent="0.3">
      <c r="B416" s="225"/>
      <c r="C416" s="226"/>
      <c r="D416" s="226"/>
      <c r="E416" s="227"/>
      <c r="F416" s="227"/>
      <c r="G416" s="228"/>
      <c r="H416" s="227"/>
      <c r="I416" s="227"/>
      <c r="J416" s="227"/>
      <c r="K416" s="227"/>
      <c r="L416" s="227"/>
      <c r="M416" s="227"/>
      <c r="N416" s="227"/>
      <c r="O416" s="227"/>
      <c r="P416" s="227"/>
    </row>
    <row r="417" spans="1:16" ht="12.75" customHeight="1" thickTop="1" x14ac:dyDescent="0.25">
      <c r="B417" s="110" t="s">
        <v>9</v>
      </c>
      <c r="C417" s="108"/>
      <c r="D417" s="108"/>
      <c r="E417" s="135">
        <f t="shared" ref="E417:I417" si="587">E379+E391+E403+E415</f>
        <v>291.75</v>
      </c>
      <c r="F417" s="135">
        <f t="shared" si="587"/>
        <v>291.75</v>
      </c>
      <c r="G417" s="194">
        <f t="shared" si="587"/>
        <v>291.75</v>
      </c>
      <c r="H417" s="135">
        <f t="shared" si="587"/>
        <v>291.75</v>
      </c>
      <c r="I417" s="135">
        <f t="shared" si="587"/>
        <v>291.75</v>
      </c>
      <c r="J417" s="135">
        <f t="shared" ref="J417:P417" si="588">J379+J391+J403+J415</f>
        <v>291.75</v>
      </c>
      <c r="K417" s="135">
        <f t="shared" si="588"/>
        <v>291.75</v>
      </c>
      <c r="L417" s="135">
        <f t="shared" si="588"/>
        <v>291.75</v>
      </c>
      <c r="M417" s="135">
        <f t="shared" si="588"/>
        <v>291.75</v>
      </c>
      <c r="N417" s="135">
        <f t="shared" si="588"/>
        <v>291.75</v>
      </c>
      <c r="O417" s="135">
        <f t="shared" si="588"/>
        <v>291.75</v>
      </c>
      <c r="P417" s="135">
        <f t="shared" si="588"/>
        <v>291.75</v>
      </c>
    </row>
    <row r="418" spans="1:16" ht="12.75" customHeight="1" x14ac:dyDescent="0.25">
      <c r="B418" s="134"/>
      <c r="C418" s="108"/>
      <c r="D418" s="108"/>
      <c r="E418" s="135"/>
      <c r="F418" s="135"/>
      <c r="G418" s="194"/>
      <c r="H418" s="135"/>
      <c r="I418" s="135"/>
      <c r="J418" s="135"/>
      <c r="K418" s="135"/>
      <c r="L418" s="135"/>
      <c r="M418" s="135"/>
      <c r="N418" s="135"/>
      <c r="O418" s="135"/>
      <c r="P418" s="135"/>
    </row>
    <row r="419" spans="1:16" ht="12.75" customHeight="1" x14ac:dyDescent="0.25">
      <c r="A419" s="72" t="s">
        <v>103</v>
      </c>
      <c r="D419" s="41"/>
      <c r="E419" s="25"/>
      <c r="F419" s="25"/>
      <c r="G419" s="182"/>
      <c r="H419" s="25"/>
      <c r="I419" s="25"/>
      <c r="J419" s="25"/>
      <c r="K419" s="25"/>
      <c r="L419" s="25"/>
      <c r="M419" s="25"/>
      <c r="N419" s="25"/>
      <c r="O419" s="25"/>
      <c r="P419" s="25"/>
    </row>
    <row r="420" spans="1:16" ht="12.75" customHeight="1" x14ac:dyDescent="0.25">
      <c r="B420" s="22" t="s">
        <v>86</v>
      </c>
      <c r="C420" s="22"/>
      <c r="D420" s="223"/>
      <c r="E420" s="608"/>
      <c r="F420" s="46">
        <f>E420*(1+F$108)</f>
        <v>0</v>
      </c>
      <c r="G420" s="183">
        <f t="shared" ref="G420:I420" si="589">F420*(1+G$108)</f>
        <v>0</v>
      </c>
      <c r="H420" s="47">
        <f t="shared" si="589"/>
        <v>0</v>
      </c>
      <c r="I420" s="47">
        <f t="shared" si="589"/>
        <v>0</v>
      </c>
      <c r="J420" s="47">
        <f t="shared" ref="J420" si="590">I420*(1+J$108)</f>
        <v>0</v>
      </c>
      <c r="K420" s="47">
        <f t="shared" ref="K420" si="591">J420*(1+K$108)</f>
        <v>0</v>
      </c>
      <c r="L420" s="47">
        <f t="shared" ref="L420" si="592">K420*(1+L$108)</f>
        <v>0</v>
      </c>
      <c r="M420" s="47">
        <f t="shared" ref="M420" si="593">L420*(1+M$108)</f>
        <v>0</v>
      </c>
      <c r="N420" s="47">
        <f t="shared" ref="N420" si="594">M420*(1+N$108)</f>
        <v>0</v>
      </c>
      <c r="O420" s="47">
        <f t="shared" ref="O420" si="595">N420*(1+O$108)</f>
        <v>0</v>
      </c>
      <c r="P420" s="47">
        <f t="shared" ref="P420" si="596">O420*(1+P$108)</f>
        <v>0</v>
      </c>
    </row>
    <row r="421" spans="1:16" ht="12.75" customHeight="1" x14ac:dyDescent="0.25">
      <c r="B421" s="29" t="s">
        <v>104</v>
      </c>
      <c r="D421" s="41"/>
      <c r="E421" s="25">
        <f t="shared" ref="E421:I421" si="597">SUM(E420:E420)</f>
        <v>0</v>
      </c>
      <c r="F421" s="25">
        <f t="shared" si="597"/>
        <v>0</v>
      </c>
      <c r="G421" s="182">
        <f t="shared" si="597"/>
        <v>0</v>
      </c>
      <c r="H421" s="25">
        <f t="shared" si="597"/>
        <v>0</v>
      </c>
      <c r="I421" s="25">
        <f t="shared" si="597"/>
        <v>0</v>
      </c>
      <c r="J421" s="25">
        <f t="shared" ref="J421:P421" si="598">SUM(J420:J420)</f>
        <v>0</v>
      </c>
      <c r="K421" s="25">
        <f t="shared" si="598"/>
        <v>0</v>
      </c>
      <c r="L421" s="25">
        <f t="shared" si="598"/>
        <v>0</v>
      </c>
      <c r="M421" s="25">
        <f t="shared" si="598"/>
        <v>0</v>
      </c>
      <c r="N421" s="25">
        <f t="shared" si="598"/>
        <v>0</v>
      </c>
      <c r="O421" s="25">
        <f t="shared" si="598"/>
        <v>0</v>
      </c>
      <c r="P421" s="25">
        <f t="shared" si="598"/>
        <v>0</v>
      </c>
    </row>
    <row r="422" spans="1:16" ht="12.75" customHeight="1" thickBot="1" x14ac:dyDescent="0.3">
      <c r="A422" s="106"/>
      <c r="B422" s="32"/>
      <c r="C422" s="32"/>
      <c r="D422" s="32"/>
      <c r="E422" s="227"/>
      <c r="F422" s="227"/>
      <c r="G422" s="228"/>
      <c r="H422" s="227"/>
      <c r="I422" s="227"/>
      <c r="J422" s="227"/>
      <c r="K422" s="227"/>
      <c r="L422" s="227"/>
      <c r="M422" s="227"/>
      <c r="N422" s="227"/>
      <c r="O422" s="227"/>
      <c r="P422" s="227"/>
    </row>
    <row r="423" spans="1:16" ht="12.75" customHeight="1" thickTop="1" x14ac:dyDescent="0.25">
      <c r="A423" s="72" t="s">
        <v>253</v>
      </c>
      <c r="E423" s="135"/>
      <c r="F423" s="135"/>
      <c r="G423" s="194"/>
      <c r="H423" s="135"/>
      <c r="I423" s="135"/>
      <c r="J423" s="135"/>
      <c r="K423" s="135"/>
      <c r="L423" s="135"/>
      <c r="M423" s="135"/>
      <c r="N423" s="135"/>
      <c r="O423" s="135"/>
      <c r="P423" s="135"/>
    </row>
    <row r="424" spans="1:16" ht="12.75" customHeight="1" x14ac:dyDescent="0.25">
      <c r="B424" s="134"/>
      <c r="C424" s="108" t="s">
        <v>206</v>
      </c>
      <c r="D424" s="108"/>
      <c r="E424" s="365">
        <f t="shared" ref="E424:I432" si="599">SUM(E319,E331,E343,E355,E370,E382,E394,E406)</f>
        <v>7384.25</v>
      </c>
      <c r="F424" s="365">
        <f t="shared" si="599"/>
        <v>7384.25</v>
      </c>
      <c r="G424" s="366">
        <f t="shared" si="599"/>
        <v>7384.25</v>
      </c>
      <c r="H424" s="365">
        <f t="shared" si="599"/>
        <v>7384.25</v>
      </c>
      <c r="I424" s="365">
        <f t="shared" si="599"/>
        <v>7384.25</v>
      </c>
      <c r="J424" s="365">
        <f t="shared" ref="J424:P424" si="600">SUM(J319,J331,J343,J355,J370,J382,J394,J406)</f>
        <v>7384.25</v>
      </c>
      <c r="K424" s="365">
        <f t="shared" si="600"/>
        <v>7384.25</v>
      </c>
      <c r="L424" s="365">
        <f t="shared" si="600"/>
        <v>7384.25</v>
      </c>
      <c r="M424" s="365">
        <f t="shared" si="600"/>
        <v>7384.25</v>
      </c>
      <c r="N424" s="365">
        <f t="shared" si="600"/>
        <v>7384.25</v>
      </c>
      <c r="O424" s="365">
        <f t="shared" si="600"/>
        <v>7384.25</v>
      </c>
      <c r="P424" s="365">
        <f t="shared" si="600"/>
        <v>7384.25</v>
      </c>
    </row>
    <row r="425" spans="1:16" ht="12.75" customHeight="1" x14ac:dyDescent="0.25">
      <c r="B425" s="134"/>
      <c r="C425" s="108" t="s">
        <v>214</v>
      </c>
      <c r="D425" s="108"/>
      <c r="E425" s="365">
        <f t="shared" si="599"/>
        <v>0</v>
      </c>
      <c r="F425" s="365">
        <f t="shared" si="599"/>
        <v>0</v>
      </c>
      <c r="G425" s="366">
        <f t="shared" si="599"/>
        <v>0</v>
      </c>
      <c r="H425" s="365">
        <f t="shared" si="599"/>
        <v>0</v>
      </c>
      <c r="I425" s="365">
        <f t="shared" si="599"/>
        <v>0</v>
      </c>
      <c r="J425" s="365">
        <f t="shared" ref="J425:P425" si="601">SUM(J320,J332,J344,J356,J371,J383,J395,J407)</f>
        <v>0</v>
      </c>
      <c r="K425" s="365">
        <f t="shared" si="601"/>
        <v>0</v>
      </c>
      <c r="L425" s="365">
        <f t="shared" si="601"/>
        <v>0</v>
      </c>
      <c r="M425" s="365">
        <f t="shared" si="601"/>
        <v>0</v>
      </c>
      <c r="N425" s="365">
        <f t="shared" si="601"/>
        <v>0</v>
      </c>
      <c r="O425" s="365">
        <f t="shared" si="601"/>
        <v>0</v>
      </c>
      <c r="P425" s="365">
        <f t="shared" si="601"/>
        <v>0</v>
      </c>
    </row>
    <row r="426" spans="1:16" ht="12.75" customHeight="1" x14ac:dyDescent="0.25">
      <c r="B426" s="134"/>
      <c r="C426" s="108" t="s">
        <v>207</v>
      </c>
      <c r="D426" s="108"/>
      <c r="E426" s="365">
        <f t="shared" si="599"/>
        <v>0</v>
      </c>
      <c r="F426" s="365">
        <f t="shared" si="599"/>
        <v>0</v>
      </c>
      <c r="G426" s="366">
        <f t="shared" si="599"/>
        <v>0</v>
      </c>
      <c r="H426" s="365">
        <f t="shared" si="599"/>
        <v>0</v>
      </c>
      <c r="I426" s="365">
        <f t="shared" si="599"/>
        <v>0</v>
      </c>
      <c r="J426" s="365">
        <f t="shared" ref="J426:P426" si="602">SUM(J321,J333,J345,J357,J372,J384,J396,J408)</f>
        <v>0</v>
      </c>
      <c r="K426" s="365">
        <f t="shared" si="602"/>
        <v>0</v>
      </c>
      <c r="L426" s="365">
        <f t="shared" si="602"/>
        <v>0</v>
      </c>
      <c r="M426" s="365">
        <f t="shared" si="602"/>
        <v>0</v>
      </c>
      <c r="N426" s="365">
        <f t="shared" si="602"/>
        <v>0</v>
      </c>
      <c r="O426" s="365">
        <f t="shared" si="602"/>
        <v>0</v>
      </c>
      <c r="P426" s="365">
        <f t="shared" si="602"/>
        <v>0</v>
      </c>
    </row>
    <row r="427" spans="1:16" ht="12.75" customHeight="1" x14ac:dyDescent="0.25">
      <c r="B427" s="134"/>
      <c r="C427" s="108" t="s">
        <v>208</v>
      </c>
      <c r="D427" s="108"/>
      <c r="E427" s="365">
        <f t="shared" si="599"/>
        <v>0</v>
      </c>
      <c r="F427" s="365">
        <f t="shared" si="599"/>
        <v>0</v>
      </c>
      <c r="G427" s="366">
        <f t="shared" si="599"/>
        <v>0</v>
      </c>
      <c r="H427" s="365">
        <f t="shared" si="599"/>
        <v>0</v>
      </c>
      <c r="I427" s="365">
        <f t="shared" si="599"/>
        <v>0</v>
      </c>
      <c r="J427" s="365">
        <f t="shared" ref="J427:P427" si="603">SUM(J322,J334,J346,J358,J373,J385,J397,J409)</f>
        <v>0</v>
      </c>
      <c r="K427" s="365">
        <f t="shared" si="603"/>
        <v>0</v>
      </c>
      <c r="L427" s="365">
        <f t="shared" si="603"/>
        <v>0</v>
      </c>
      <c r="M427" s="365">
        <f t="shared" si="603"/>
        <v>0</v>
      </c>
      <c r="N427" s="365">
        <f t="shared" si="603"/>
        <v>0</v>
      </c>
      <c r="O427" s="365">
        <f t="shared" si="603"/>
        <v>0</v>
      </c>
      <c r="P427" s="365">
        <f t="shared" si="603"/>
        <v>0</v>
      </c>
    </row>
    <row r="428" spans="1:16" ht="12.75" customHeight="1" x14ac:dyDescent="0.25">
      <c r="B428" s="134"/>
      <c r="C428" s="108" t="s">
        <v>209</v>
      </c>
      <c r="D428" s="108"/>
      <c r="E428" s="365">
        <f t="shared" si="599"/>
        <v>0</v>
      </c>
      <c r="F428" s="365">
        <f t="shared" si="599"/>
        <v>0</v>
      </c>
      <c r="G428" s="366">
        <f t="shared" si="599"/>
        <v>0</v>
      </c>
      <c r="H428" s="365">
        <f t="shared" si="599"/>
        <v>0</v>
      </c>
      <c r="I428" s="365">
        <f t="shared" si="599"/>
        <v>0</v>
      </c>
      <c r="J428" s="365">
        <f t="shared" ref="J428:P428" si="604">SUM(J323,J335,J347,J359,J374,J386,J398,J410)</f>
        <v>0</v>
      </c>
      <c r="K428" s="365">
        <f t="shared" si="604"/>
        <v>0</v>
      </c>
      <c r="L428" s="365">
        <f t="shared" si="604"/>
        <v>0</v>
      </c>
      <c r="M428" s="365">
        <f t="shared" si="604"/>
        <v>0</v>
      </c>
      <c r="N428" s="365">
        <f t="shared" si="604"/>
        <v>0</v>
      </c>
      <c r="O428" s="365">
        <f t="shared" si="604"/>
        <v>0</v>
      </c>
      <c r="P428" s="365">
        <f t="shared" si="604"/>
        <v>0</v>
      </c>
    </row>
    <row r="429" spans="1:16" ht="12.75" customHeight="1" x14ac:dyDescent="0.25">
      <c r="B429" s="134"/>
      <c r="C429" s="108" t="s">
        <v>210</v>
      </c>
      <c r="D429" s="108"/>
      <c r="E429" s="365">
        <f t="shared" si="599"/>
        <v>0</v>
      </c>
      <c r="F429" s="365">
        <f t="shared" si="599"/>
        <v>0</v>
      </c>
      <c r="G429" s="366">
        <f t="shared" si="599"/>
        <v>0</v>
      </c>
      <c r="H429" s="365">
        <f t="shared" si="599"/>
        <v>0</v>
      </c>
      <c r="I429" s="365">
        <f t="shared" si="599"/>
        <v>0</v>
      </c>
      <c r="J429" s="365">
        <f t="shared" ref="J429:P429" si="605">SUM(J324,J336,J348,J360,J375,J387,J399,J411)</f>
        <v>0</v>
      </c>
      <c r="K429" s="365">
        <f t="shared" si="605"/>
        <v>0</v>
      </c>
      <c r="L429" s="365">
        <f t="shared" si="605"/>
        <v>0</v>
      </c>
      <c r="M429" s="365">
        <f t="shared" si="605"/>
        <v>0</v>
      </c>
      <c r="N429" s="365">
        <f t="shared" si="605"/>
        <v>0</v>
      </c>
      <c r="O429" s="365">
        <f t="shared" si="605"/>
        <v>0</v>
      </c>
      <c r="P429" s="365">
        <f t="shared" si="605"/>
        <v>0</v>
      </c>
    </row>
    <row r="430" spans="1:16" ht="12.75" customHeight="1" x14ac:dyDescent="0.25">
      <c r="B430" s="134"/>
      <c r="C430" s="108" t="s">
        <v>211</v>
      </c>
      <c r="D430" s="108"/>
      <c r="E430" s="365">
        <f t="shared" si="599"/>
        <v>0</v>
      </c>
      <c r="F430" s="365">
        <f t="shared" si="599"/>
        <v>0</v>
      </c>
      <c r="G430" s="366">
        <f t="shared" si="599"/>
        <v>0</v>
      </c>
      <c r="H430" s="365">
        <f t="shared" si="599"/>
        <v>0</v>
      </c>
      <c r="I430" s="365">
        <f t="shared" si="599"/>
        <v>0</v>
      </c>
      <c r="J430" s="365">
        <f t="shared" ref="J430:P430" si="606">SUM(J325,J337,J349,J361,J376,J388,J400,J412)</f>
        <v>0</v>
      </c>
      <c r="K430" s="365">
        <f t="shared" si="606"/>
        <v>0</v>
      </c>
      <c r="L430" s="365">
        <f t="shared" si="606"/>
        <v>0</v>
      </c>
      <c r="M430" s="365">
        <f t="shared" si="606"/>
        <v>0</v>
      </c>
      <c r="N430" s="365">
        <f t="shared" si="606"/>
        <v>0</v>
      </c>
      <c r="O430" s="365">
        <f t="shared" si="606"/>
        <v>0</v>
      </c>
      <c r="P430" s="365">
        <f t="shared" si="606"/>
        <v>0</v>
      </c>
    </row>
    <row r="431" spans="1:16" ht="12.75" customHeight="1" x14ac:dyDescent="0.25">
      <c r="B431" s="134"/>
      <c r="C431" s="108" t="s">
        <v>212</v>
      </c>
      <c r="D431" s="108"/>
      <c r="E431" s="365">
        <f t="shared" si="599"/>
        <v>0</v>
      </c>
      <c r="F431" s="365">
        <f t="shared" si="599"/>
        <v>0</v>
      </c>
      <c r="G431" s="366">
        <f t="shared" si="599"/>
        <v>0</v>
      </c>
      <c r="H431" s="365">
        <f t="shared" si="599"/>
        <v>0</v>
      </c>
      <c r="I431" s="365">
        <f t="shared" si="599"/>
        <v>0</v>
      </c>
      <c r="J431" s="365">
        <f t="shared" ref="J431:P431" si="607">SUM(J326,J338,J350,J362,J377,J389,J401,J413)</f>
        <v>0</v>
      </c>
      <c r="K431" s="365">
        <f t="shared" si="607"/>
        <v>0</v>
      </c>
      <c r="L431" s="365">
        <f t="shared" si="607"/>
        <v>0</v>
      </c>
      <c r="M431" s="365">
        <f t="shared" si="607"/>
        <v>0</v>
      </c>
      <c r="N431" s="365">
        <f t="shared" si="607"/>
        <v>0</v>
      </c>
      <c r="O431" s="365">
        <f t="shared" si="607"/>
        <v>0</v>
      </c>
      <c r="P431" s="365">
        <f t="shared" si="607"/>
        <v>0</v>
      </c>
    </row>
    <row r="432" spans="1:16" ht="12.75" customHeight="1" x14ac:dyDescent="0.25">
      <c r="A432" s="73"/>
      <c r="B432" s="133"/>
      <c r="C432" s="136" t="s">
        <v>213</v>
      </c>
      <c r="D432" s="136"/>
      <c r="E432" s="367">
        <f t="shared" si="599"/>
        <v>0</v>
      </c>
      <c r="F432" s="367">
        <f t="shared" si="599"/>
        <v>0</v>
      </c>
      <c r="G432" s="368">
        <f t="shared" si="599"/>
        <v>0</v>
      </c>
      <c r="H432" s="367">
        <f t="shared" si="599"/>
        <v>0</v>
      </c>
      <c r="I432" s="367">
        <f t="shared" si="599"/>
        <v>0</v>
      </c>
      <c r="J432" s="367">
        <f t="shared" ref="J432:P432" si="608">SUM(J327,J339,J351,J363,J378,J390,J402,J414)</f>
        <v>0</v>
      </c>
      <c r="K432" s="367">
        <f t="shared" si="608"/>
        <v>0</v>
      </c>
      <c r="L432" s="367">
        <f t="shared" si="608"/>
        <v>0</v>
      </c>
      <c r="M432" s="367">
        <f t="shared" si="608"/>
        <v>0</v>
      </c>
      <c r="N432" s="367">
        <f t="shared" si="608"/>
        <v>0</v>
      </c>
      <c r="O432" s="367">
        <f t="shared" si="608"/>
        <v>0</v>
      </c>
      <c r="P432" s="367">
        <f t="shared" si="608"/>
        <v>0</v>
      </c>
    </row>
    <row r="433" spans="1:16" ht="12.75" customHeight="1" x14ac:dyDescent="0.25">
      <c r="A433" s="72"/>
      <c r="E433" s="135">
        <f t="shared" ref="E433:I433" si="609">SUM(E424:E432)</f>
        <v>7384.25</v>
      </c>
      <c r="F433" s="135">
        <f t="shared" si="609"/>
        <v>7384.25</v>
      </c>
      <c r="G433" s="194">
        <f t="shared" si="609"/>
        <v>7384.25</v>
      </c>
      <c r="H433" s="135">
        <f t="shared" si="609"/>
        <v>7384.25</v>
      </c>
      <c r="I433" s="135">
        <f t="shared" si="609"/>
        <v>7384.25</v>
      </c>
      <c r="J433" s="135">
        <f t="shared" ref="J433:P433" si="610">SUM(J424:J432)</f>
        <v>7384.25</v>
      </c>
      <c r="K433" s="135">
        <f t="shared" si="610"/>
        <v>7384.25</v>
      </c>
      <c r="L433" s="135">
        <f t="shared" si="610"/>
        <v>7384.25</v>
      </c>
      <c r="M433" s="135">
        <f t="shared" si="610"/>
        <v>7384.25</v>
      </c>
      <c r="N433" s="135">
        <f t="shared" si="610"/>
        <v>7384.25</v>
      </c>
      <c r="O433" s="135">
        <f t="shared" si="610"/>
        <v>7384.25</v>
      </c>
      <c r="P433" s="135">
        <f t="shared" si="610"/>
        <v>7384.25</v>
      </c>
    </row>
    <row r="434" spans="1:16" ht="12.75" customHeight="1" thickBot="1" x14ac:dyDescent="0.3">
      <c r="A434" s="85"/>
      <c r="B434" s="7"/>
      <c r="C434" s="7"/>
      <c r="D434" s="7"/>
      <c r="E434" s="369"/>
      <c r="F434" s="369"/>
      <c r="G434" s="370"/>
      <c r="H434" s="369"/>
      <c r="I434" s="369"/>
      <c r="J434" s="369"/>
      <c r="K434" s="369"/>
      <c r="L434" s="369"/>
      <c r="M434" s="369"/>
      <c r="N434" s="369"/>
      <c r="O434" s="369"/>
      <c r="P434" s="369"/>
    </row>
    <row r="435" spans="1:16" ht="12.75" customHeight="1" x14ac:dyDescent="0.25">
      <c r="A435" s="72"/>
      <c r="E435" s="135"/>
      <c r="F435" s="135"/>
      <c r="G435" s="194"/>
      <c r="H435" s="135"/>
      <c r="I435" s="135"/>
      <c r="J435" s="135"/>
      <c r="K435" s="135"/>
      <c r="L435" s="135"/>
      <c r="M435" s="135"/>
      <c r="N435" s="135"/>
      <c r="O435" s="135"/>
      <c r="P435" s="135"/>
    </row>
    <row r="436" spans="1:16" ht="12.75" customHeight="1" x14ac:dyDescent="0.25">
      <c r="A436" s="72" t="s">
        <v>257</v>
      </c>
      <c r="E436" s="135"/>
      <c r="F436" s="135"/>
      <c r="G436" s="194"/>
      <c r="H436" s="135"/>
      <c r="I436" s="135"/>
      <c r="J436" s="135"/>
      <c r="K436" s="135"/>
      <c r="L436" s="135"/>
      <c r="M436" s="135"/>
      <c r="N436" s="135"/>
      <c r="O436" s="135"/>
      <c r="P436" s="135"/>
    </row>
    <row r="437" spans="1:16" ht="12.75" customHeight="1" x14ac:dyDescent="0.25">
      <c r="A437" s="3"/>
      <c r="B437" s="72" t="s">
        <v>204</v>
      </c>
      <c r="G437" s="151"/>
    </row>
    <row r="438" spans="1:16" ht="12.75" customHeight="1" x14ac:dyDescent="0.25">
      <c r="B438" s="110" t="s">
        <v>216</v>
      </c>
      <c r="C438" s="108"/>
      <c r="D438" s="108"/>
      <c r="G438" s="151"/>
    </row>
    <row r="439" spans="1:16" ht="12.75" customHeight="1" x14ac:dyDescent="0.25">
      <c r="B439" s="134"/>
      <c r="C439" s="108" t="s">
        <v>206</v>
      </c>
      <c r="D439" s="108"/>
      <c r="E439" s="202">
        <f>IF(E$328&gt;0,E319/E$328,0)</f>
        <v>1</v>
      </c>
      <c r="F439" s="202">
        <f t="shared" ref="F439:I439" si="611">E439</f>
        <v>1</v>
      </c>
      <c r="G439" s="231">
        <f t="shared" si="611"/>
        <v>1</v>
      </c>
      <c r="H439" s="202">
        <f t="shared" si="611"/>
        <v>1</v>
      </c>
      <c r="I439" s="202">
        <f t="shared" si="611"/>
        <v>1</v>
      </c>
      <c r="J439" s="202">
        <f t="shared" ref="J439:J447" si="612">I439</f>
        <v>1</v>
      </c>
      <c r="K439" s="202">
        <f t="shared" ref="K439:K447" si="613">J439</f>
        <v>1</v>
      </c>
      <c r="L439" s="202">
        <f t="shared" ref="L439:L447" si="614">K439</f>
        <v>1</v>
      </c>
      <c r="M439" s="202">
        <f t="shared" ref="M439:M447" si="615">L439</f>
        <v>1</v>
      </c>
      <c r="N439" s="202">
        <f t="shared" ref="N439:N447" si="616">M439</f>
        <v>1</v>
      </c>
      <c r="O439" s="202">
        <f t="shared" ref="O439:O447" si="617">N439</f>
        <v>1</v>
      </c>
      <c r="P439" s="202">
        <f t="shared" ref="P439:P447" si="618">O439</f>
        <v>1</v>
      </c>
    </row>
    <row r="440" spans="1:16" ht="12.75" customHeight="1" x14ac:dyDescent="0.25">
      <c r="B440" s="134"/>
      <c r="C440" s="108" t="s">
        <v>214</v>
      </c>
      <c r="D440" s="108"/>
      <c r="E440" s="202">
        <f t="shared" ref="E440:E447" si="619">IF(E$328&gt;0,E320/E$328,0)</f>
        <v>0</v>
      </c>
      <c r="F440" s="202">
        <f t="shared" ref="F440:G447" si="620">E440</f>
        <v>0</v>
      </c>
      <c r="G440" s="231">
        <f t="shared" si="620"/>
        <v>0</v>
      </c>
      <c r="H440" s="202">
        <f t="shared" ref="H440:I447" si="621">G440</f>
        <v>0</v>
      </c>
      <c r="I440" s="202">
        <f t="shared" si="621"/>
        <v>0</v>
      </c>
      <c r="J440" s="202">
        <f t="shared" si="612"/>
        <v>0</v>
      </c>
      <c r="K440" s="202">
        <f t="shared" si="613"/>
        <v>0</v>
      </c>
      <c r="L440" s="202">
        <f t="shared" si="614"/>
        <v>0</v>
      </c>
      <c r="M440" s="202">
        <f t="shared" si="615"/>
        <v>0</v>
      </c>
      <c r="N440" s="202">
        <f t="shared" si="616"/>
        <v>0</v>
      </c>
      <c r="O440" s="202">
        <f t="shared" si="617"/>
        <v>0</v>
      </c>
      <c r="P440" s="202">
        <f t="shared" si="618"/>
        <v>0</v>
      </c>
    </row>
    <row r="441" spans="1:16" ht="12.75" customHeight="1" x14ac:dyDescent="0.25">
      <c r="B441" s="134"/>
      <c r="C441" s="108" t="s">
        <v>207</v>
      </c>
      <c r="D441" s="108"/>
      <c r="E441" s="202">
        <f t="shared" si="619"/>
        <v>0</v>
      </c>
      <c r="F441" s="202">
        <f t="shared" si="620"/>
        <v>0</v>
      </c>
      <c r="G441" s="231">
        <f t="shared" si="620"/>
        <v>0</v>
      </c>
      <c r="H441" s="202">
        <f t="shared" si="621"/>
        <v>0</v>
      </c>
      <c r="I441" s="202">
        <f t="shared" si="621"/>
        <v>0</v>
      </c>
      <c r="J441" s="202">
        <f t="shared" si="612"/>
        <v>0</v>
      </c>
      <c r="K441" s="202">
        <f t="shared" si="613"/>
        <v>0</v>
      </c>
      <c r="L441" s="202">
        <f t="shared" si="614"/>
        <v>0</v>
      </c>
      <c r="M441" s="202">
        <f t="shared" si="615"/>
        <v>0</v>
      </c>
      <c r="N441" s="202">
        <f t="shared" si="616"/>
        <v>0</v>
      </c>
      <c r="O441" s="202">
        <f t="shared" si="617"/>
        <v>0</v>
      </c>
      <c r="P441" s="202">
        <f t="shared" si="618"/>
        <v>0</v>
      </c>
    </row>
    <row r="442" spans="1:16" ht="12.75" customHeight="1" x14ac:dyDescent="0.25">
      <c r="B442" s="134"/>
      <c r="C442" s="108" t="s">
        <v>208</v>
      </c>
      <c r="D442" s="108"/>
      <c r="E442" s="202">
        <f t="shared" si="619"/>
        <v>0</v>
      </c>
      <c r="F442" s="202">
        <f t="shared" si="620"/>
        <v>0</v>
      </c>
      <c r="G442" s="231">
        <f t="shared" si="620"/>
        <v>0</v>
      </c>
      <c r="H442" s="202">
        <f t="shared" si="621"/>
        <v>0</v>
      </c>
      <c r="I442" s="202">
        <f t="shared" si="621"/>
        <v>0</v>
      </c>
      <c r="J442" s="202">
        <f t="shared" si="612"/>
        <v>0</v>
      </c>
      <c r="K442" s="202">
        <f t="shared" si="613"/>
        <v>0</v>
      </c>
      <c r="L442" s="202">
        <f t="shared" si="614"/>
        <v>0</v>
      </c>
      <c r="M442" s="202">
        <f t="shared" si="615"/>
        <v>0</v>
      </c>
      <c r="N442" s="202">
        <f t="shared" si="616"/>
        <v>0</v>
      </c>
      <c r="O442" s="202">
        <f t="shared" si="617"/>
        <v>0</v>
      </c>
      <c r="P442" s="202">
        <f t="shared" si="618"/>
        <v>0</v>
      </c>
    </row>
    <row r="443" spans="1:16" ht="12.75" customHeight="1" x14ac:dyDescent="0.25">
      <c r="B443" s="134"/>
      <c r="C443" s="108" t="s">
        <v>209</v>
      </c>
      <c r="D443" s="108"/>
      <c r="E443" s="202">
        <f t="shared" si="619"/>
        <v>0</v>
      </c>
      <c r="F443" s="202">
        <f t="shared" si="620"/>
        <v>0</v>
      </c>
      <c r="G443" s="231">
        <f t="shared" si="620"/>
        <v>0</v>
      </c>
      <c r="H443" s="202">
        <f t="shared" si="621"/>
        <v>0</v>
      </c>
      <c r="I443" s="202">
        <f t="shared" si="621"/>
        <v>0</v>
      </c>
      <c r="J443" s="202">
        <f t="shared" si="612"/>
        <v>0</v>
      </c>
      <c r="K443" s="202">
        <f t="shared" si="613"/>
        <v>0</v>
      </c>
      <c r="L443" s="202">
        <f t="shared" si="614"/>
        <v>0</v>
      </c>
      <c r="M443" s="202">
        <f t="shared" si="615"/>
        <v>0</v>
      </c>
      <c r="N443" s="202">
        <f t="shared" si="616"/>
        <v>0</v>
      </c>
      <c r="O443" s="202">
        <f t="shared" si="617"/>
        <v>0</v>
      </c>
      <c r="P443" s="202">
        <f t="shared" si="618"/>
        <v>0</v>
      </c>
    </row>
    <row r="444" spans="1:16" ht="12.75" customHeight="1" x14ac:dyDescent="0.25">
      <c r="B444" s="134"/>
      <c r="C444" s="108" t="s">
        <v>210</v>
      </c>
      <c r="D444" s="108"/>
      <c r="E444" s="202">
        <f t="shared" si="619"/>
        <v>0</v>
      </c>
      <c r="F444" s="202">
        <f t="shared" si="620"/>
        <v>0</v>
      </c>
      <c r="G444" s="231">
        <f t="shared" si="620"/>
        <v>0</v>
      </c>
      <c r="H444" s="202">
        <f t="shared" si="621"/>
        <v>0</v>
      </c>
      <c r="I444" s="202">
        <f t="shared" si="621"/>
        <v>0</v>
      </c>
      <c r="J444" s="202">
        <f t="shared" si="612"/>
        <v>0</v>
      </c>
      <c r="K444" s="202">
        <f t="shared" si="613"/>
        <v>0</v>
      </c>
      <c r="L444" s="202">
        <f t="shared" si="614"/>
        <v>0</v>
      </c>
      <c r="M444" s="202">
        <f t="shared" si="615"/>
        <v>0</v>
      </c>
      <c r="N444" s="202">
        <f t="shared" si="616"/>
        <v>0</v>
      </c>
      <c r="O444" s="202">
        <f t="shared" si="617"/>
        <v>0</v>
      </c>
      <c r="P444" s="202">
        <f t="shared" si="618"/>
        <v>0</v>
      </c>
    </row>
    <row r="445" spans="1:16" ht="12.75" customHeight="1" x14ac:dyDescent="0.25">
      <c r="B445" s="134"/>
      <c r="C445" s="108" t="s">
        <v>211</v>
      </c>
      <c r="D445" s="108"/>
      <c r="E445" s="202">
        <f t="shared" si="619"/>
        <v>0</v>
      </c>
      <c r="F445" s="202">
        <f t="shared" si="620"/>
        <v>0</v>
      </c>
      <c r="G445" s="231">
        <f t="shared" si="620"/>
        <v>0</v>
      </c>
      <c r="H445" s="202">
        <f t="shared" si="621"/>
        <v>0</v>
      </c>
      <c r="I445" s="202">
        <f t="shared" si="621"/>
        <v>0</v>
      </c>
      <c r="J445" s="202">
        <f t="shared" si="612"/>
        <v>0</v>
      </c>
      <c r="K445" s="202">
        <f t="shared" si="613"/>
        <v>0</v>
      </c>
      <c r="L445" s="202">
        <f t="shared" si="614"/>
        <v>0</v>
      </c>
      <c r="M445" s="202">
        <f t="shared" si="615"/>
        <v>0</v>
      </c>
      <c r="N445" s="202">
        <f t="shared" si="616"/>
        <v>0</v>
      </c>
      <c r="O445" s="202">
        <f t="shared" si="617"/>
        <v>0</v>
      </c>
      <c r="P445" s="202">
        <f t="shared" si="618"/>
        <v>0</v>
      </c>
    </row>
    <row r="446" spans="1:16" ht="12.75" customHeight="1" x14ac:dyDescent="0.25">
      <c r="B446" s="134"/>
      <c r="C446" s="108" t="s">
        <v>212</v>
      </c>
      <c r="D446" s="108"/>
      <c r="E446" s="202">
        <f t="shared" si="619"/>
        <v>0</v>
      </c>
      <c r="F446" s="202">
        <f t="shared" si="620"/>
        <v>0</v>
      </c>
      <c r="G446" s="231">
        <f t="shared" si="620"/>
        <v>0</v>
      </c>
      <c r="H446" s="202">
        <f t="shared" si="621"/>
        <v>0</v>
      </c>
      <c r="I446" s="202">
        <f t="shared" si="621"/>
        <v>0</v>
      </c>
      <c r="J446" s="202">
        <f t="shared" si="612"/>
        <v>0</v>
      </c>
      <c r="K446" s="202">
        <f t="shared" si="613"/>
        <v>0</v>
      </c>
      <c r="L446" s="202">
        <f t="shared" si="614"/>
        <v>0</v>
      </c>
      <c r="M446" s="202">
        <f t="shared" si="615"/>
        <v>0</v>
      </c>
      <c r="N446" s="202">
        <f t="shared" si="616"/>
        <v>0</v>
      </c>
      <c r="O446" s="202">
        <f t="shared" si="617"/>
        <v>0</v>
      </c>
      <c r="P446" s="202">
        <f t="shared" si="618"/>
        <v>0</v>
      </c>
    </row>
    <row r="447" spans="1:16" ht="12.75" customHeight="1" x14ac:dyDescent="0.25">
      <c r="A447" s="73"/>
      <c r="B447" s="133"/>
      <c r="C447" s="136" t="s">
        <v>213</v>
      </c>
      <c r="D447" s="136"/>
      <c r="E447" s="232">
        <f t="shared" si="619"/>
        <v>0</v>
      </c>
      <c r="F447" s="232">
        <f t="shared" si="620"/>
        <v>0</v>
      </c>
      <c r="G447" s="233">
        <f t="shared" si="620"/>
        <v>0</v>
      </c>
      <c r="H447" s="232">
        <f t="shared" si="621"/>
        <v>0</v>
      </c>
      <c r="I447" s="232">
        <f t="shared" si="621"/>
        <v>0</v>
      </c>
      <c r="J447" s="232">
        <f t="shared" si="612"/>
        <v>0</v>
      </c>
      <c r="K447" s="232">
        <f t="shared" si="613"/>
        <v>0</v>
      </c>
      <c r="L447" s="232">
        <f t="shared" si="614"/>
        <v>0</v>
      </c>
      <c r="M447" s="232">
        <f t="shared" si="615"/>
        <v>0</v>
      </c>
      <c r="N447" s="232">
        <f t="shared" si="616"/>
        <v>0</v>
      </c>
      <c r="O447" s="232">
        <f t="shared" si="617"/>
        <v>0</v>
      </c>
      <c r="P447" s="232">
        <f t="shared" si="618"/>
        <v>0</v>
      </c>
    </row>
    <row r="448" spans="1:16" ht="12.75" customHeight="1" x14ac:dyDescent="0.25">
      <c r="B448" s="134"/>
      <c r="C448" s="108" t="s">
        <v>219</v>
      </c>
      <c r="D448" s="108"/>
      <c r="E448" s="202">
        <f t="shared" ref="E448:F448" si="622">SUM(E439:E447)</f>
        <v>1</v>
      </c>
      <c r="F448" s="202">
        <f t="shared" si="622"/>
        <v>1</v>
      </c>
      <c r="G448" s="231">
        <f t="shared" ref="G448:I448" si="623">SUM(G439:G447)</f>
        <v>1</v>
      </c>
      <c r="H448" s="202">
        <f t="shared" si="623"/>
        <v>1</v>
      </c>
      <c r="I448" s="202">
        <f t="shared" si="623"/>
        <v>1</v>
      </c>
      <c r="J448" s="202">
        <f t="shared" ref="J448:P448" si="624">SUM(J439:J447)</f>
        <v>1</v>
      </c>
      <c r="K448" s="202">
        <f t="shared" si="624"/>
        <v>1</v>
      </c>
      <c r="L448" s="202">
        <f t="shared" si="624"/>
        <v>1</v>
      </c>
      <c r="M448" s="202">
        <f t="shared" si="624"/>
        <v>1</v>
      </c>
      <c r="N448" s="202">
        <f t="shared" si="624"/>
        <v>1</v>
      </c>
      <c r="O448" s="202">
        <f t="shared" si="624"/>
        <v>1</v>
      </c>
      <c r="P448" s="202">
        <f t="shared" si="624"/>
        <v>1</v>
      </c>
    </row>
    <row r="449" spans="1:16" ht="12.75" customHeight="1" x14ac:dyDescent="0.25">
      <c r="B449" s="134"/>
      <c r="C449" s="108"/>
      <c r="D449" s="108"/>
      <c r="E449" s="202"/>
      <c r="F449" s="202"/>
      <c r="G449" s="231"/>
      <c r="H449" s="202"/>
      <c r="I449" s="202"/>
      <c r="J449" s="202"/>
      <c r="K449" s="202"/>
      <c r="L449" s="202"/>
      <c r="M449" s="202"/>
      <c r="N449" s="202"/>
      <c r="O449" s="202"/>
      <c r="P449" s="202"/>
    </row>
    <row r="450" spans="1:16" ht="12.75" customHeight="1" x14ac:dyDescent="0.25">
      <c r="B450" s="110" t="s">
        <v>343</v>
      </c>
      <c r="C450" s="108"/>
      <c r="D450" s="108"/>
      <c r="E450" s="234"/>
      <c r="F450" s="234"/>
      <c r="G450" s="235"/>
      <c r="H450" s="234"/>
      <c r="I450" s="234"/>
      <c r="J450" s="234"/>
      <c r="K450" s="234"/>
      <c r="L450" s="234"/>
      <c r="M450" s="234"/>
      <c r="N450" s="234"/>
      <c r="O450" s="234"/>
      <c r="P450" s="234"/>
    </row>
    <row r="451" spans="1:16" ht="12.75" customHeight="1" x14ac:dyDescent="0.25">
      <c r="B451" s="134"/>
      <c r="C451" s="108" t="s">
        <v>206</v>
      </c>
      <c r="D451" s="108"/>
      <c r="E451" s="202">
        <f>IF(E$340&gt;0,E331/E$340,0)</f>
        <v>1</v>
      </c>
      <c r="F451" s="202">
        <f t="shared" ref="F451:I459" si="625">E451</f>
        <v>1</v>
      </c>
      <c r="G451" s="231">
        <f t="shared" si="625"/>
        <v>1</v>
      </c>
      <c r="H451" s="202">
        <f>G451</f>
        <v>1</v>
      </c>
      <c r="I451" s="202">
        <f>H451</f>
        <v>1</v>
      </c>
      <c r="J451" s="202">
        <f t="shared" ref="J451:P459" si="626">I451</f>
        <v>1</v>
      </c>
      <c r="K451" s="202">
        <f t="shared" si="626"/>
        <v>1</v>
      </c>
      <c r="L451" s="202">
        <f t="shared" si="626"/>
        <v>1</v>
      </c>
      <c r="M451" s="202">
        <f t="shared" si="626"/>
        <v>1</v>
      </c>
      <c r="N451" s="202">
        <f t="shared" si="626"/>
        <v>1</v>
      </c>
      <c r="O451" s="202">
        <f t="shared" si="626"/>
        <v>1</v>
      </c>
      <c r="P451" s="202">
        <f t="shared" si="626"/>
        <v>1</v>
      </c>
    </row>
    <row r="452" spans="1:16" ht="12.75" customHeight="1" x14ac:dyDescent="0.25">
      <c r="B452" s="134"/>
      <c r="C452" s="108" t="s">
        <v>214</v>
      </c>
      <c r="D452" s="108"/>
      <c r="E452" s="202">
        <f t="shared" ref="E452:E459" si="627">IF(E$340&gt;0,E332/E$340,0)</f>
        <v>0</v>
      </c>
      <c r="F452" s="202">
        <f t="shared" si="625"/>
        <v>0</v>
      </c>
      <c r="G452" s="231">
        <f t="shared" si="625"/>
        <v>0</v>
      </c>
      <c r="H452" s="202">
        <f t="shared" si="625"/>
        <v>0</v>
      </c>
      <c r="I452" s="202">
        <f t="shared" si="625"/>
        <v>0</v>
      </c>
      <c r="J452" s="202">
        <f t="shared" si="626"/>
        <v>0</v>
      </c>
      <c r="K452" s="202">
        <f t="shared" si="626"/>
        <v>0</v>
      </c>
      <c r="L452" s="202">
        <f t="shared" si="626"/>
        <v>0</v>
      </c>
      <c r="M452" s="202">
        <f t="shared" si="626"/>
        <v>0</v>
      </c>
      <c r="N452" s="202">
        <f t="shared" si="626"/>
        <v>0</v>
      </c>
      <c r="O452" s="202">
        <f t="shared" si="626"/>
        <v>0</v>
      </c>
      <c r="P452" s="202">
        <f t="shared" si="626"/>
        <v>0</v>
      </c>
    </row>
    <row r="453" spans="1:16" ht="12.75" customHeight="1" x14ac:dyDescent="0.25">
      <c r="B453" s="134"/>
      <c r="C453" s="108" t="s">
        <v>199</v>
      </c>
      <c r="D453" s="108"/>
      <c r="E453" s="202">
        <f t="shared" si="627"/>
        <v>0</v>
      </c>
      <c r="F453" s="202">
        <f t="shared" si="625"/>
        <v>0</v>
      </c>
      <c r="G453" s="231">
        <f t="shared" si="625"/>
        <v>0</v>
      </c>
      <c r="H453" s="202">
        <f t="shared" si="625"/>
        <v>0</v>
      </c>
      <c r="I453" s="202">
        <f t="shared" si="625"/>
        <v>0</v>
      </c>
      <c r="J453" s="202">
        <f t="shared" si="626"/>
        <v>0</v>
      </c>
      <c r="K453" s="202">
        <f t="shared" si="626"/>
        <v>0</v>
      </c>
      <c r="L453" s="202">
        <f t="shared" si="626"/>
        <v>0</v>
      </c>
      <c r="M453" s="202">
        <f t="shared" si="626"/>
        <v>0</v>
      </c>
      <c r="N453" s="202">
        <f t="shared" si="626"/>
        <v>0</v>
      </c>
      <c r="O453" s="202">
        <f t="shared" si="626"/>
        <v>0</v>
      </c>
      <c r="P453" s="202">
        <f t="shared" si="626"/>
        <v>0</v>
      </c>
    </row>
    <row r="454" spans="1:16" ht="12.75" customHeight="1" x14ac:dyDescent="0.25">
      <c r="B454" s="134"/>
      <c r="C454" s="108" t="s">
        <v>208</v>
      </c>
      <c r="D454" s="108"/>
      <c r="E454" s="202">
        <f t="shared" si="627"/>
        <v>0</v>
      </c>
      <c r="F454" s="202">
        <f t="shared" si="625"/>
        <v>0</v>
      </c>
      <c r="G454" s="231">
        <f t="shared" si="625"/>
        <v>0</v>
      </c>
      <c r="H454" s="202">
        <f t="shared" si="625"/>
        <v>0</v>
      </c>
      <c r="I454" s="202">
        <f t="shared" si="625"/>
        <v>0</v>
      </c>
      <c r="J454" s="202">
        <f t="shared" si="626"/>
        <v>0</v>
      </c>
      <c r="K454" s="202">
        <f t="shared" si="626"/>
        <v>0</v>
      </c>
      <c r="L454" s="202">
        <f t="shared" si="626"/>
        <v>0</v>
      </c>
      <c r="M454" s="202">
        <f t="shared" si="626"/>
        <v>0</v>
      </c>
      <c r="N454" s="202">
        <f t="shared" si="626"/>
        <v>0</v>
      </c>
      <c r="O454" s="202">
        <f t="shared" si="626"/>
        <v>0</v>
      </c>
      <c r="P454" s="202">
        <f t="shared" si="626"/>
        <v>0</v>
      </c>
    </row>
    <row r="455" spans="1:16" ht="12.75" customHeight="1" x14ac:dyDescent="0.25">
      <c r="B455" s="134"/>
      <c r="C455" s="108" t="s">
        <v>209</v>
      </c>
      <c r="D455" s="108"/>
      <c r="E455" s="202">
        <f t="shared" si="627"/>
        <v>0</v>
      </c>
      <c r="F455" s="202">
        <f t="shared" si="625"/>
        <v>0</v>
      </c>
      <c r="G455" s="231">
        <f t="shared" si="625"/>
        <v>0</v>
      </c>
      <c r="H455" s="202">
        <f t="shared" si="625"/>
        <v>0</v>
      </c>
      <c r="I455" s="202">
        <f t="shared" si="625"/>
        <v>0</v>
      </c>
      <c r="J455" s="202">
        <f t="shared" si="626"/>
        <v>0</v>
      </c>
      <c r="K455" s="202">
        <f t="shared" si="626"/>
        <v>0</v>
      </c>
      <c r="L455" s="202">
        <f t="shared" si="626"/>
        <v>0</v>
      </c>
      <c r="M455" s="202">
        <f t="shared" si="626"/>
        <v>0</v>
      </c>
      <c r="N455" s="202">
        <f t="shared" si="626"/>
        <v>0</v>
      </c>
      <c r="O455" s="202">
        <f t="shared" si="626"/>
        <v>0</v>
      </c>
      <c r="P455" s="202">
        <f t="shared" si="626"/>
        <v>0</v>
      </c>
    </row>
    <row r="456" spans="1:16" ht="12.75" customHeight="1" x14ac:dyDescent="0.25">
      <c r="B456" s="134"/>
      <c r="C456" s="108" t="s">
        <v>210</v>
      </c>
      <c r="D456" s="108"/>
      <c r="E456" s="202">
        <f t="shared" si="627"/>
        <v>0</v>
      </c>
      <c r="F456" s="202">
        <f t="shared" si="625"/>
        <v>0</v>
      </c>
      <c r="G456" s="231">
        <f t="shared" si="625"/>
        <v>0</v>
      </c>
      <c r="H456" s="202">
        <f t="shared" si="625"/>
        <v>0</v>
      </c>
      <c r="I456" s="202">
        <f t="shared" si="625"/>
        <v>0</v>
      </c>
      <c r="J456" s="202">
        <f t="shared" si="626"/>
        <v>0</v>
      </c>
      <c r="K456" s="202">
        <f t="shared" si="626"/>
        <v>0</v>
      </c>
      <c r="L456" s="202">
        <f t="shared" si="626"/>
        <v>0</v>
      </c>
      <c r="M456" s="202">
        <f t="shared" si="626"/>
        <v>0</v>
      </c>
      <c r="N456" s="202">
        <f t="shared" si="626"/>
        <v>0</v>
      </c>
      <c r="O456" s="202">
        <f t="shared" si="626"/>
        <v>0</v>
      </c>
      <c r="P456" s="202">
        <f t="shared" si="626"/>
        <v>0</v>
      </c>
    </row>
    <row r="457" spans="1:16" ht="12.75" customHeight="1" x14ac:dyDescent="0.25">
      <c r="B457" s="134"/>
      <c r="C457" s="108" t="s">
        <v>211</v>
      </c>
      <c r="D457" s="108"/>
      <c r="E457" s="202">
        <f t="shared" si="627"/>
        <v>0</v>
      </c>
      <c r="F457" s="202">
        <f t="shared" si="625"/>
        <v>0</v>
      </c>
      <c r="G457" s="231">
        <f t="shared" si="625"/>
        <v>0</v>
      </c>
      <c r="H457" s="202">
        <f t="shared" si="625"/>
        <v>0</v>
      </c>
      <c r="I457" s="202">
        <f t="shared" si="625"/>
        <v>0</v>
      </c>
      <c r="J457" s="202">
        <f t="shared" si="626"/>
        <v>0</v>
      </c>
      <c r="K457" s="202">
        <f t="shared" si="626"/>
        <v>0</v>
      </c>
      <c r="L457" s="202">
        <f t="shared" si="626"/>
        <v>0</v>
      </c>
      <c r="M457" s="202">
        <f t="shared" si="626"/>
        <v>0</v>
      </c>
      <c r="N457" s="202">
        <f t="shared" si="626"/>
        <v>0</v>
      </c>
      <c r="O457" s="202">
        <f t="shared" si="626"/>
        <v>0</v>
      </c>
      <c r="P457" s="202">
        <f t="shared" si="626"/>
        <v>0</v>
      </c>
    </row>
    <row r="458" spans="1:16" ht="12.75" customHeight="1" x14ac:dyDescent="0.25">
      <c r="B458" s="134"/>
      <c r="C458" s="108" t="s">
        <v>212</v>
      </c>
      <c r="D458" s="108"/>
      <c r="E458" s="202">
        <f t="shared" si="627"/>
        <v>0</v>
      </c>
      <c r="F458" s="202">
        <f t="shared" si="625"/>
        <v>0</v>
      </c>
      <c r="G458" s="231">
        <f t="shared" si="625"/>
        <v>0</v>
      </c>
      <c r="H458" s="202">
        <f t="shared" si="625"/>
        <v>0</v>
      </c>
      <c r="I458" s="202">
        <f t="shared" si="625"/>
        <v>0</v>
      </c>
      <c r="J458" s="202">
        <f t="shared" si="626"/>
        <v>0</v>
      </c>
      <c r="K458" s="202">
        <f t="shared" si="626"/>
        <v>0</v>
      </c>
      <c r="L458" s="202">
        <f t="shared" si="626"/>
        <v>0</v>
      </c>
      <c r="M458" s="202">
        <f t="shared" si="626"/>
        <v>0</v>
      </c>
      <c r="N458" s="202">
        <f t="shared" si="626"/>
        <v>0</v>
      </c>
      <c r="O458" s="202">
        <f t="shared" si="626"/>
        <v>0</v>
      </c>
      <c r="P458" s="202">
        <f t="shared" si="626"/>
        <v>0</v>
      </c>
    </row>
    <row r="459" spans="1:16" ht="12.75" customHeight="1" x14ac:dyDescent="0.25">
      <c r="A459" s="73"/>
      <c r="B459" s="133"/>
      <c r="C459" s="136" t="s">
        <v>213</v>
      </c>
      <c r="D459" s="136"/>
      <c r="E459" s="232">
        <f t="shared" si="627"/>
        <v>0</v>
      </c>
      <c r="F459" s="232">
        <f t="shared" si="625"/>
        <v>0</v>
      </c>
      <c r="G459" s="233">
        <f t="shared" si="625"/>
        <v>0</v>
      </c>
      <c r="H459" s="232">
        <f t="shared" si="625"/>
        <v>0</v>
      </c>
      <c r="I459" s="232">
        <f t="shared" si="625"/>
        <v>0</v>
      </c>
      <c r="J459" s="232">
        <f t="shared" si="626"/>
        <v>0</v>
      </c>
      <c r="K459" s="232">
        <f t="shared" si="626"/>
        <v>0</v>
      </c>
      <c r="L459" s="232">
        <f t="shared" si="626"/>
        <v>0</v>
      </c>
      <c r="M459" s="232">
        <f t="shared" si="626"/>
        <v>0</v>
      </c>
      <c r="N459" s="232">
        <f t="shared" si="626"/>
        <v>0</v>
      </c>
      <c r="O459" s="232">
        <f t="shared" si="626"/>
        <v>0</v>
      </c>
      <c r="P459" s="232">
        <f t="shared" si="626"/>
        <v>0</v>
      </c>
    </row>
    <row r="460" spans="1:16" ht="12.75" customHeight="1" x14ac:dyDescent="0.25">
      <c r="B460" s="134"/>
      <c r="C460" s="108" t="s">
        <v>219</v>
      </c>
      <c r="D460" s="108"/>
      <c r="E460" s="202">
        <f t="shared" ref="E460:F460" si="628">SUM(E451:E459)</f>
        <v>1</v>
      </c>
      <c r="F460" s="202">
        <f t="shared" si="628"/>
        <v>1</v>
      </c>
      <c r="G460" s="231">
        <f t="shared" ref="G460:I460" si="629">SUM(G451:G459)</f>
        <v>1</v>
      </c>
      <c r="H460" s="202">
        <f t="shared" si="629"/>
        <v>1</v>
      </c>
      <c r="I460" s="202">
        <f t="shared" si="629"/>
        <v>1</v>
      </c>
      <c r="J460" s="202">
        <f t="shared" ref="J460:P460" si="630">SUM(J451:J459)</f>
        <v>1</v>
      </c>
      <c r="K460" s="202">
        <f t="shared" si="630"/>
        <v>1</v>
      </c>
      <c r="L460" s="202">
        <f t="shared" si="630"/>
        <v>1</v>
      </c>
      <c r="M460" s="202">
        <f t="shared" si="630"/>
        <v>1</v>
      </c>
      <c r="N460" s="202">
        <f t="shared" si="630"/>
        <v>1</v>
      </c>
      <c r="O460" s="202">
        <f t="shared" si="630"/>
        <v>1</v>
      </c>
      <c r="P460" s="202">
        <f t="shared" si="630"/>
        <v>1</v>
      </c>
    </row>
    <row r="461" spans="1:16" ht="12.75" customHeight="1" x14ac:dyDescent="0.25">
      <c r="B461" s="134"/>
      <c r="C461" s="108"/>
      <c r="D461" s="108"/>
      <c r="E461" s="202"/>
      <c r="F461" s="202"/>
      <c r="G461" s="231"/>
      <c r="H461" s="202"/>
      <c r="I461" s="202"/>
      <c r="J461" s="202"/>
      <c r="K461" s="202"/>
      <c r="L461" s="202"/>
      <c r="M461" s="202"/>
      <c r="N461" s="202"/>
      <c r="O461" s="202"/>
      <c r="P461" s="202"/>
    </row>
    <row r="462" spans="1:16" ht="12.75" customHeight="1" x14ac:dyDescent="0.25">
      <c r="B462" s="110" t="s">
        <v>297</v>
      </c>
      <c r="C462" s="108"/>
      <c r="D462" s="108"/>
      <c r="E462" s="234"/>
      <c r="F462" s="234"/>
      <c r="G462" s="235"/>
      <c r="H462" s="234"/>
      <c r="I462" s="234"/>
      <c r="J462" s="234"/>
      <c r="K462" s="234"/>
      <c r="L462" s="234"/>
      <c r="M462" s="234"/>
      <c r="N462" s="234"/>
      <c r="O462" s="234"/>
      <c r="P462" s="234"/>
    </row>
    <row r="463" spans="1:16" ht="12.75" customHeight="1" x14ac:dyDescent="0.25">
      <c r="B463" s="134"/>
      <c r="C463" s="108" t="s">
        <v>206</v>
      </c>
      <c r="D463" s="108"/>
      <c r="E463" s="202">
        <f>IF(E$352&gt;0,E343/E$352,0)</f>
        <v>0</v>
      </c>
      <c r="F463" s="202">
        <f t="shared" ref="F463:I471" si="631">E463</f>
        <v>0</v>
      </c>
      <c r="G463" s="231">
        <f t="shared" si="631"/>
        <v>0</v>
      </c>
      <c r="H463" s="202">
        <f>G463</f>
        <v>0</v>
      </c>
      <c r="I463" s="202">
        <f>H463</f>
        <v>0</v>
      </c>
      <c r="J463" s="202">
        <f t="shared" ref="J463:P471" si="632">I463</f>
        <v>0</v>
      </c>
      <c r="K463" s="202">
        <f t="shared" si="632"/>
        <v>0</v>
      </c>
      <c r="L463" s="202">
        <f t="shared" si="632"/>
        <v>0</v>
      </c>
      <c r="M463" s="202">
        <f t="shared" si="632"/>
        <v>0</v>
      </c>
      <c r="N463" s="202">
        <f t="shared" si="632"/>
        <v>0</v>
      </c>
      <c r="O463" s="202">
        <f t="shared" si="632"/>
        <v>0</v>
      </c>
      <c r="P463" s="202">
        <f t="shared" si="632"/>
        <v>0</v>
      </c>
    </row>
    <row r="464" spans="1:16" ht="12.75" customHeight="1" x14ac:dyDescent="0.25">
      <c r="B464" s="134"/>
      <c r="C464" s="108" t="s">
        <v>214</v>
      </c>
      <c r="D464" s="108"/>
      <c r="E464" s="202">
        <f t="shared" ref="E464:E471" si="633">IF(E$352&gt;0,E344/E$352,0)</f>
        <v>0</v>
      </c>
      <c r="F464" s="202">
        <f t="shared" si="631"/>
        <v>0</v>
      </c>
      <c r="G464" s="231">
        <f t="shared" si="631"/>
        <v>0</v>
      </c>
      <c r="H464" s="202">
        <f t="shared" si="631"/>
        <v>0</v>
      </c>
      <c r="I464" s="202">
        <f t="shared" si="631"/>
        <v>0</v>
      </c>
      <c r="J464" s="202">
        <f t="shared" si="632"/>
        <v>0</v>
      </c>
      <c r="K464" s="202">
        <f t="shared" si="632"/>
        <v>0</v>
      </c>
      <c r="L464" s="202">
        <f t="shared" si="632"/>
        <v>0</v>
      </c>
      <c r="M464" s="202">
        <f t="shared" si="632"/>
        <v>0</v>
      </c>
      <c r="N464" s="202">
        <f t="shared" si="632"/>
        <v>0</v>
      </c>
      <c r="O464" s="202">
        <f t="shared" si="632"/>
        <v>0</v>
      </c>
      <c r="P464" s="202">
        <f t="shared" si="632"/>
        <v>0</v>
      </c>
    </row>
    <row r="465" spans="1:16" ht="12.75" customHeight="1" x14ac:dyDescent="0.25">
      <c r="B465" s="134"/>
      <c r="C465" s="108" t="s">
        <v>207</v>
      </c>
      <c r="D465" s="108"/>
      <c r="E465" s="202">
        <f t="shared" si="633"/>
        <v>0</v>
      </c>
      <c r="F465" s="202">
        <f t="shared" si="631"/>
        <v>0</v>
      </c>
      <c r="G465" s="231">
        <f t="shared" si="631"/>
        <v>0</v>
      </c>
      <c r="H465" s="202">
        <f t="shared" si="631"/>
        <v>0</v>
      </c>
      <c r="I465" s="202">
        <f t="shared" si="631"/>
        <v>0</v>
      </c>
      <c r="J465" s="202">
        <f t="shared" si="632"/>
        <v>0</v>
      </c>
      <c r="K465" s="202">
        <f t="shared" si="632"/>
        <v>0</v>
      </c>
      <c r="L465" s="202">
        <f t="shared" si="632"/>
        <v>0</v>
      </c>
      <c r="M465" s="202">
        <f t="shared" si="632"/>
        <v>0</v>
      </c>
      <c r="N465" s="202">
        <f t="shared" si="632"/>
        <v>0</v>
      </c>
      <c r="O465" s="202">
        <f t="shared" si="632"/>
        <v>0</v>
      </c>
      <c r="P465" s="202">
        <f t="shared" si="632"/>
        <v>0</v>
      </c>
    </row>
    <row r="466" spans="1:16" ht="12.75" customHeight="1" x14ac:dyDescent="0.25">
      <c r="B466" s="134"/>
      <c r="C466" s="108" t="s">
        <v>208</v>
      </c>
      <c r="D466" s="108"/>
      <c r="E466" s="202">
        <f t="shared" si="633"/>
        <v>0</v>
      </c>
      <c r="F466" s="202">
        <f t="shared" si="631"/>
        <v>0</v>
      </c>
      <c r="G466" s="231">
        <f t="shared" si="631"/>
        <v>0</v>
      </c>
      <c r="H466" s="202">
        <f t="shared" si="631"/>
        <v>0</v>
      </c>
      <c r="I466" s="202">
        <f t="shared" si="631"/>
        <v>0</v>
      </c>
      <c r="J466" s="202">
        <f t="shared" si="632"/>
        <v>0</v>
      </c>
      <c r="K466" s="202">
        <f t="shared" si="632"/>
        <v>0</v>
      </c>
      <c r="L466" s="202">
        <f t="shared" si="632"/>
        <v>0</v>
      </c>
      <c r="M466" s="202">
        <f t="shared" si="632"/>
        <v>0</v>
      </c>
      <c r="N466" s="202">
        <f t="shared" si="632"/>
        <v>0</v>
      </c>
      <c r="O466" s="202">
        <f t="shared" si="632"/>
        <v>0</v>
      </c>
      <c r="P466" s="202">
        <f t="shared" si="632"/>
        <v>0</v>
      </c>
    </row>
    <row r="467" spans="1:16" ht="12.75" customHeight="1" x14ac:dyDescent="0.25">
      <c r="B467" s="134"/>
      <c r="C467" s="108" t="s">
        <v>209</v>
      </c>
      <c r="D467" s="108"/>
      <c r="E467" s="202">
        <f t="shared" si="633"/>
        <v>0</v>
      </c>
      <c r="F467" s="202">
        <f t="shared" si="631"/>
        <v>0</v>
      </c>
      <c r="G467" s="231">
        <f t="shared" si="631"/>
        <v>0</v>
      </c>
      <c r="H467" s="202">
        <f t="shared" si="631"/>
        <v>0</v>
      </c>
      <c r="I467" s="202">
        <f t="shared" si="631"/>
        <v>0</v>
      </c>
      <c r="J467" s="202">
        <f t="shared" si="632"/>
        <v>0</v>
      </c>
      <c r="K467" s="202">
        <f t="shared" si="632"/>
        <v>0</v>
      </c>
      <c r="L467" s="202">
        <f t="shared" si="632"/>
        <v>0</v>
      </c>
      <c r="M467" s="202">
        <f t="shared" si="632"/>
        <v>0</v>
      </c>
      <c r="N467" s="202">
        <f t="shared" si="632"/>
        <v>0</v>
      </c>
      <c r="O467" s="202">
        <f t="shared" si="632"/>
        <v>0</v>
      </c>
      <c r="P467" s="202">
        <f t="shared" si="632"/>
        <v>0</v>
      </c>
    </row>
    <row r="468" spans="1:16" ht="12.75" customHeight="1" x14ac:dyDescent="0.25">
      <c r="B468" s="134"/>
      <c r="C468" s="108" t="s">
        <v>210</v>
      </c>
      <c r="D468" s="108"/>
      <c r="E468" s="202">
        <f t="shared" si="633"/>
        <v>0</v>
      </c>
      <c r="F468" s="202">
        <f t="shared" si="631"/>
        <v>0</v>
      </c>
      <c r="G468" s="231">
        <f t="shared" si="631"/>
        <v>0</v>
      </c>
      <c r="H468" s="202">
        <f t="shared" si="631"/>
        <v>0</v>
      </c>
      <c r="I468" s="202">
        <f t="shared" si="631"/>
        <v>0</v>
      </c>
      <c r="J468" s="202">
        <f t="shared" si="632"/>
        <v>0</v>
      </c>
      <c r="K468" s="202">
        <f t="shared" si="632"/>
        <v>0</v>
      </c>
      <c r="L468" s="202">
        <f t="shared" si="632"/>
        <v>0</v>
      </c>
      <c r="M468" s="202">
        <f t="shared" si="632"/>
        <v>0</v>
      </c>
      <c r="N468" s="202">
        <f t="shared" si="632"/>
        <v>0</v>
      </c>
      <c r="O468" s="202">
        <f t="shared" si="632"/>
        <v>0</v>
      </c>
      <c r="P468" s="202">
        <f t="shared" si="632"/>
        <v>0</v>
      </c>
    </row>
    <row r="469" spans="1:16" ht="12.75" customHeight="1" x14ac:dyDescent="0.25">
      <c r="B469" s="134"/>
      <c r="C469" s="108" t="s">
        <v>211</v>
      </c>
      <c r="D469" s="108"/>
      <c r="E469" s="202">
        <f t="shared" si="633"/>
        <v>0</v>
      </c>
      <c r="F469" s="202">
        <f t="shared" si="631"/>
        <v>0</v>
      </c>
      <c r="G469" s="231">
        <f t="shared" si="631"/>
        <v>0</v>
      </c>
      <c r="H469" s="202">
        <f t="shared" si="631"/>
        <v>0</v>
      </c>
      <c r="I469" s="202">
        <f t="shared" si="631"/>
        <v>0</v>
      </c>
      <c r="J469" s="202">
        <f t="shared" si="632"/>
        <v>0</v>
      </c>
      <c r="K469" s="202">
        <f t="shared" si="632"/>
        <v>0</v>
      </c>
      <c r="L469" s="202">
        <f t="shared" si="632"/>
        <v>0</v>
      </c>
      <c r="M469" s="202">
        <f t="shared" si="632"/>
        <v>0</v>
      </c>
      <c r="N469" s="202">
        <f t="shared" si="632"/>
        <v>0</v>
      </c>
      <c r="O469" s="202">
        <f t="shared" si="632"/>
        <v>0</v>
      </c>
      <c r="P469" s="202">
        <f t="shared" si="632"/>
        <v>0</v>
      </c>
    </row>
    <row r="470" spans="1:16" ht="12.75" customHeight="1" x14ac:dyDescent="0.25">
      <c r="B470" s="134"/>
      <c r="C470" s="108" t="s">
        <v>212</v>
      </c>
      <c r="D470" s="108"/>
      <c r="E470" s="202">
        <f t="shared" si="633"/>
        <v>0</v>
      </c>
      <c r="F470" s="202">
        <f t="shared" si="631"/>
        <v>0</v>
      </c>
      <c r="G470" s="231">
        <f t="shared" si="631"/>
        <v>0</v>
      </c>
      <c r="H470" s="202">
        <f t="shared" si="631"/>
        <v>0</v>
      </c>
      <c r="I470" s="202">
        <f t="shared" si="631"/>
        <v>0</v>
      </c>
      <c r="J470" s="202">
        <f t="shared" si="632"/>
        <v>0</v>
      </c>
      <c r="K470" s="202">
        <f t="shared" si="632"/>
        <v>0</v>
      </c>
      <c r="L470" s="202">
        <f t="shared" si="632"/>
        <v>0</v>
      </c>
      <c r="M470" s="202">
        <f t="shared" si="632"/>
        <v>0</v>
      </c>
      <c r="N470" s="202">
        <f t="shared" si="632"/>
        <v>0</v>
      </c>
      <c r="O470" s="202">
        <f t="shared" si="632"/>
        <v>0</v>
      </c>
      <c r="P470" s="202">
        <f t="shared" si="632"/>
        <v>0</v>
      </c>
    </row>
    <row r="471" spans="1:16" ht="12.75" customHeight="1" x14ac:dyDescent="0.25">
      <c r="A471" s="73"/>
      <c r="B471" s="133"/>
      <c r="C471" s="136" t="s">
        <v>213</v>
      </c>
      <c r="D471" s="136"/>
      <c r="E471" s="232">
        <f t="shared" si="633"/>
        <v>0</v>
      </c>
      <c r="F471" s="232">
        <f t="shared" si="631"/>
        <v>0</v>
      </c>
      <c r="G471" s="233">
        <f t="shared" si="631"/>
        <v>0</v>
      </c>
      <c r="H471" s="232">
        <f t="shared" si="631"/>
        <v>0</v>
      </c>
      <c r="I471" s="232">
        <f t="shared" si="631"/>
        <v>0</v>
      </c>
      <c r="J471" s="232">
        <f t="shared" si="632"/>
        <v>0</v>
      </c>
      <c r="K471" s="232">
        <f t="shared" si="632"/>
        <v>0</v>
      </c>
      <c r="L471" s="232">
        <f t="shared" si="632"/>
        <v>0</v>
      </c>
      <c r="M471" s="232">
        <f t="shared" si="632"/>
        <v>0</v>
      </c>
      <c r="N471" s="232">
        <f t="shared" si="632"/>
        <v>0</v>
      </c>
      <c r="O471" s="232">
        <f t="shared" si="632"/>
        <v>0</v>
      </c>
      <c r="P471" s="232">
        <f t="shared" si="632"/>
        <v>0</v>
      </c>
    </row>
    <row r="472" spans="1:16" ht="12.75" customHeight="1" x14ac:dyDescent="0.25">
      <c r="B472" s="134"/>
      <c r="C472" s="108" t="s">
        <v>219</v>
      </c>
      <c r="D472" s="108"/>
      <c r="E472" s="202">
        <f t="shared" ref="E472:F472" si="634">SUM(E463:E471)</f>
        <v>0</v>
      </c>
      <c r="F472" s="202">
        <f t="shared" si="634"/>
        <v>0</v>
      </c>
      <c r="G472" s="231">
        <f t="shared" ref="G472:I472" si="635">SUM(G463:G471)</f>
        <v>0</v>
      </c>
      <c r="H472" s="202">
        <f t="shared" si="635"/>
        <v>0</v>
      </c>
      <c r="I472" s="202">
        <f t="shared" si="635"/>
        <v>0</v>
      </c>
      <c r="J472" s="202">
        <f t="shared" ref="J472:P472" si="636">SUM(J463:J471)</f>
        <v>0</v>
      </c>
      <c r="K472" s="202">
        <f t="shared" si="636"/>
        <v>0</v>
      </c>
      <c r="L472" s="202">
        <f t="shared" si="636"/>
        <v>0</v>
      </c>
      <c r="M472" s="202">
        <f t="shared" si="636"/>
        <v>0</v>
      </c>
      <c r="N472" s="202">
        <f t="shared" si="636"/>
        <v>0</v>
      </c>
      <c r="O472" s="202">
        <f t="shared" si="636"/>
        <v>0</v>
      </c>
      <c r="P472" s="202">
        <f t="shared" si="636"/>
        <v>0</v>
      </c>
    </row>
    <row r="473" spans="1:16" ht="12.75" customHeight="1" x14ac:dyDescent="0.25">
      <c r="B473" s="134"/>
      <c r="C473" s="108"/>
      <c r="D473" s="108"/>
      <c r="E473" s="202"/>
      <c r="F473" s="202"/>
      <c r="G473" s="231"/>
      <c r="H473" s="202"/>
      <c r="I473" s="202"/>
      <c r="J473" s="202"/>
      <c r="K473" s="202"/>
      <c r="L473" s="202"/>
      <c r="M473" s="202"/>
      <c r="N473" s="202"/>
      <c r="O473" s="202"/>
      <c r="P473" s="202"/>
    </row>
    <row r="474" spans="1:16" ht="12.75" customHeight="1" x14ac:dyDescent="0.25">
      <c r="B474" s="29" t="s">
        <v>297</v>
      </c>
      <c r="C474" s="108"/>
      <c r="D474" s="108"/>
      <c r="E474" s="236"/>
      <c r="F474" s="236"/>
      <c r="G474" s="237"/>
      <c r="H474" s="236"/>
      <c r="I474" s="236"/>
      <c r="J474" s="236"/>
      <c r="K474" s="236"/>
      <c r="L474" s="236"/>
      <c r="M474" s="236"/>
      <c r="N474" s="236"/>
      <c r="O474" s="236"/>
      <c r="P474" s="236"/>
    </row>
    <row r="475" spans="1:16" ht="12.75" customHeight="1" x14ac:dyDescent="0.25">
      <c r="B475" s="134"/>
      <c r="C475" s="108" t="s">
        <v>206</v>
      </c>
      <c r="D475" s="108"/>
      <c r="E475" s="202">
        <f>IF(E$364&gt;0,E355/E$364,0)</f>
        <v>0</v>
      </c>
      <c r="F475" s="202">
        <f t="shared" ref="F475:I481" si="637">E475</f>
        <v>0</v>
      </c>
      <c r="G475" s="231">
        <f t="shared" si="637"/>
        <v>0</v>
      </c>
      <c r="H475" s="202">
        <f t="shared" si="637"/>
        <v>0</v>
      </c>
      <c r="I475" s="202">
        <f t="shared" si="637"/>
        <v>0</v>
      </c>
      <c r="J475" s="202">
        <f t="shared" ref="J475:J483" si="638">I475</f>
        <v>0</v>
      </c>
      <c r="K475" s="202">
        <f t="shared" ref="K475:K483" si="639">J475</f>
        <v>0</v>
      </c>
      <c r="L475" s="202">
        <f t="shared" ref="L475:L483" si="640">K475</f>
        <v>0</v>
      </c>
      <c r="M475" s="202">
        <f t="shared" ref="M475:M483" si="641">L475</f>
        <v>0</v>
      </c>
      <c r="N475" s="202">
        <f t="shared" ref="N475:N483" si="642">M475</f>
        <v>0</v>
      </c>
      <c r="O475" s="202">
        <f t="shared" ref="O475:O483" si="643">N475</f>
        <v>0</v>
      </c>
      <c r="P475" s="202">
        <f t="shared" ref="P475:P483" si="644">O475</f>
        <v>0</v>
      </c>
    </row>
    <row r="476" spans="1:16" ht="12.75" customHeight="1" x14ac:dyDescent="0.25">
      <c r="B476" s="134"/>
      <c r="C476" s="108" t="s">
        <v>214</v>
      </c>
      <c r="D476" s="108"/>
      <c r="E476" s="202">
        <f t="shared" ref="E476:E483" si="645">IF(E$364&gt;0,E356/E$364,0)</f>
        <v>0</v>
      </c>
      <c r="F476" s="202">
        <f t="shared" si="637"/>
        <v>0</v>
      </c>
      <c r="G476" s="231">
        <f t="shared" si="637"/>
        <v>0</v>
      </c>
      <c r="H476" s="202">
        <f t="shared" si="637"/>
        <v>0</v>
      </c>
      <c r="I476" s="202">
        <f t="shared" si="637"/>
        <v>0</v>
      </c>
      <c r="J476" s="202">
        <f t="shared" si="638"/>
        <v>0</v>
      </c>
      <c r="K476" s="202">
        <f t="shared" si="639"/>
        <v>0</v>
      </c>
      <c r="L476" s="202">
        <f t="shared" si="640"/>
        <v>0</v>
      </c>
      <c r="M476" s="202">
        <f t="shared" si="641"/>
        <v>0</v>
      </c>
      <c r="N476" s="202">
        <f t="shared" si="642"/>
        <v>0</v>
      </c>
      <c r="O476" s="202">
        <f t="shared" si="643"/>
        <v>0</v>
      </c>
      <c r="P476" s="202">
        <f t="shared" si="644"/>
        <v>0</v>
      </c>
    </row>
    <row r="477" spans="1:16" ht="12.75" customHeight="1" x14ac:dyDescent="0.25">
      <c r="B477" s="134"/>
      <c r="C477" s="108" t="s">
        <v>207</v>
      </c>
      <c r="D477" s="108"/>
      <c r="E477" s="202">
        <f t="shared" si="645"/>
        <v>0</v>
      </c>
      <c r="F477" s="202">
        <f t="shared" si="637"/>
        <v>0</v>
      </c>
      <c r="G477" s="231">
        <f t="shared" si="637"/>
        <v>0</v>
      </c>
      <c r="H477" s="202">
        <f t="shared" si="637"/>
        <v>0</v>
      </c>
      <c r="I477" s="202">
        <f t="shared" si="637"/>
        <v>0</v>
      </c>
      <c r="J477" s="202">
        <f t="shared" si="638"/>
        <v>0</v>
      </c>
      <c r="K477" s="202">
        <f t="shared" si="639"/>
        <v>0</v>
      </c>
      <c r="L477" s="202">
        <f t="shared" si="640"/>
        <v>0</v>
      </c>
      <c r="M477" s="202">
        <f t="shared" si="641"/>
        <v>0</v>
      </c>
      <c r="N477" s="202">
        <f t="shared" si="642"/>
        <v>0</v>
      </c>
      <c r="O477" s="202">
        <f t="shared" si="643"/>
        <v>0</v>
      </c>
      <c r="P477" s="202">
        <f t="shared" si="644"/>
        <v>0</v>
      </c>
    </row>
    <row r="478" spans="1:16" ht="12.75" customHeight="1" x14ac:dyDescent="0.25">
      <c r="B478" s="134"/>
      <c r="C478" s="108" t="s">
        <v>208</v>
      </c>
      <c r="D478" s="108"/>
      <c r="E478" s="202">
        <f t="shared" si="645"/>
        <v>0</v>
      </c>
      <c r="F478" s="202">
        <f t="shared" si="637"/>
        <v>0</v>
      </c>
      <c r="G478" s="231">
        <f t="shared" si="637"/>
        <v>0</v>
      </c>
      <c r="H478" s="202">
        <f t="shared" si="637"/>
        <v>0</v>
      </c>
      <c r="I478" s="202">
        <f t="shared" si="637"/>
        <v>0</v>
      </c>
      <c r="J478" s="202">
        <f t="shared" si="638"/>
        <v>0</v>
      </c>
      <c r="K478" s="202">
        <f t="shared" si="639"/>
        <v>0</v>
      </c>
      <c r="L478" s="202">
        <f t="shared" si="640"/>
        <v>0</v>
      </c>
      <c r="M478" s="202">
        <f t="shared" si="641"/>
        <v>0</v>
      </c>
      <c r="N478" s="202">
        <f t="shared" si="642"/>
        <v>0</v>
      </c>
      <c r="O478" s="202">
        <f t="shared" si="643"/>
        <v>0</v>
      </c>
      <c r="P478" s="202">
        <f t="shared" si="644"/>
        <v>0</v>
      </c>
    </row>
    <row r="479" spans="1:16" ht="12.75" customHeight="1" x14ac:dyDescent="0.25">
      <c r="B479" s="134"/>
      <c r="C479" s="108" t="s">
        <v>209</v>
      </c>
      <c r="D479" s="108"/>
      <c r="E479" s="202">
        <f t="shared" si="645"/>
        <v>0</v>
      </c>
      <c r="F479" s="202">
        <f t="shared" si="637"/>
        <v>0</v>
      </c>
      <c r="G479" s="231">
        <f t="shared" si="637"/>
        <v>0</v>
      </c>
      <c r="H479" s="202">
        <f t="shared" si="637"/>
        <v>0</v>
      </c>
      <c r="I479" s="202">
        <f t="shared" si="637"/>
        <v>0</v>
      </c>
      <c r="J479" s="202">
        <f t="shared" si="638"/>
        <v>0</v>
      </c>
      <c r="K479" s="202">
        <f t="shared" si="639"/>
        <v>0</v>
      </c>
      <c r="L479" s="202">
        <f t="shared" si="640"/>
        <v>0</v>
      </c>
      <c r="M479" s="202">
        <f t="shared" si="641"/>
        <v>0</v>
      </c>
      <c r="N479" s="202">
        <f t="shared" si="642"/>
        <v>0</v>
      </c>
      <c r="O479" s="202">
        <f t="shared" si="643"/>
        <v>0</v>
      </c>
      <c r="P479" s="202">
        <f t="shared" si="644"/>
        <v>0</v>
      </c>
    </row>
    <row r="480" spans="1:16" ht="12.75" customHeight="1" x14ac:dyDescent="0.25">
      <c r="B480" s="134"/>
      <c r="C480" s="108" t="s">
        <v>210</v>
      </c>
      <c r="D480" s="108"/>
      <c r="E480" s="202">
        <f t="shared" si="645"/>
        <v>0</v>
      </c>
      <c r="F480" s="202">
        <f t="shared" si="637"/>
        <v>0</v>
      </c>
      <c r="G480" s="231">
        <f t="shared" si="637"/>
        <v>0</v>
      </c>
      <c r="H480" s="202">
        <f t="shared" si="637"/>
        <v>0</v>
      </c>
      <c r="I480" s="202">
        <f t="shared" si="637"/>
        <v>0</v>
      </c>
      <c r="J480" s="202">
        <f t="shared" si="638"/>
        <v>0</v>
      </c>
      <c r="K480" s="202">
        <f t="shared" si="639"/>
        <v>0</v>
      </c>
      <c r="L480" s="202">
        <f t="shared" si="640"/>
        <v>0</v>
      </c>
      <c r="M480" s="202">
        <f t="shared" si="641"/>
        <v>0</v>
      </c>
      <c r="N480" s="202">
        <f t="shared" si="642"/>
        <v>0</v>
      </c>
      <c r="O480" s="202">
        <f t="shared" si="643"/>
        <v>0</v>
      </c>
      <c r="P480" s="202">
        <f t="shared" si="644"/>
        <v>0</v>
      </c>
    </row>
    <row r="481" spans="1:16" ht="12.75" customHeight="1" x14ac:dyDescent="0.25">
      <c r="B481" s="134"/>
      <c r="C481" s="108" t="s">
        <v>211</v>
      </c>
      <c r="D481" s="108"/>
      <c r="E481" s="202">
        <f t="shared" si="645"/>
        <v>0</v>
      </c>
      <c r="F481" s="202">
        <f t="shared" si="637"/>
        <v>0</v>
      </c>
      <c r="G481" s="231">
        <f t="shared" si="637"/>
        <v>0</v>
      </c>
      <c r="H481" s="202">
        <f t="shared" si="637"/>
        <v>0</v>
      </c>
      <c r="I481" s="202">
        <f t="shared" si="637"/>
        <v>0</v>
      </c>
      <c r="J481" s="202">
        <f t="shared" si="638"/>
        <v>0</v>
      </c>
      <c r="K481" s="202">
        <f t="shared" si="639"/>
        <v>0</v>
      </c>
      <c r="L481" s="202">
        <f t="shared" si="640"/>
        <v>0</v>
      </c>
      <c r="M481" s="202">
        <f t="shared" si="641"/>
        <v>0</v>
      </c>
      <c r="N481" s="202">
        <f t="shared" si="642"/>
        <v>0</v>
      </c>
      <c r="O481" s="202">
        <f t="shared" si="643"/>
        <v>0</v>
      </c>
      <c r="P481" s="202">
        <f t="shared" si="644"/>
        <v>0</v>
      </c>
    </row>
    <row r="482" spans="1:16" ht="12.75" customHeight="1" x14ac:dyDescent="0.25">
      <c r="B482" s="134"/>
      <c r="C482" s="108" t="s">
        <v>212</v>
      </c>
      <c r="D482" s="108"/>
      <c r="E482" s="202">
        <f t="shared" si="645"/>
        <v>0</v>
      </c>
      <c r="F482" s="202">
        <f t="shared" ref="F482:I483" si="646">E482</f>
        <v>0</v>
      </c>
      <c r="G482" s="231">
        <f t="shared" si="646"/>
        <v>0</v>
      </c>
      <c r="H482" s="202">
        <f t="shared" si="646"/>
        <v>0</v>
      </c>
      <c r="I482" s="202">
        <f t="shared" si="646"/>
        <v>0</v>
      </c>
      <c r="J482" s="202">
        <f t="shared" si="638"/>
        <v>0</v>
      </c>
      <c r="K482" s="202">
        <f t="shared" si="639"/>
        <v>0</v>
      </c>
      <c r="L482" s="202">
        <f t="shared" si="640"/>
        <v>0</v>
      </c>
      <c r="M482" s="202">
        <f t="shared" si="641"/>
        <v>0</v>
      </c>
      <c r="N482" s="202">
        <f t="shared" si="642"/>
        <v>0</v>
      </c>
      <c r="O482" s="202">
        <f t="shared" si="643"/>
        <v>0</v>
      </c>
      <c r="P482" s="202">
        <f t="shared" si="644"/>
        <v>0</v>
      </c>
    </row>
    <row r="483" spans="1:16" ht="12.75" customHeight="1" x14ac:dyDescent="0.25">
      <c r="A483" s="73"/>
      <c r="B483" s="133"/>
      <c r="C483" s="136" t="s">
        <v>213</v>
      </c>
      <c r="D483" s="136"/>
      <c r="E483" s="232">
        <f t="shared" si="645"/>
        <v>0</v>
      </c>
      <c r="F483" s="232">
        <f t="shared" si="646"/>
        <v>0</v>
      </c>
      <c r="G483" s="233">
        <f t="shared" si="646"/>
        <v>0</v>
      </c>
      <c r="H483" s="232">
        <f t="shared" si="646"/>
        <v>0</v>
      </c>
      <c r="I483" s="232">
        <f t="shared" si="646"/>
        <v>0</v>
      </c>
      <c r="J483" s="232">
        <f t="shared" si="638"/>
        <v>0</v>
      </c>
      <c r="K483" s="232">
        <f t="shared" si="639"/>
        <v>0</v>
      </c>
      <c r="L483" s="232">
        <f t="shared" si="640"/>
        <v>0</v>
      </c>
      <c r="M483" s="232">
        <f t="shared" si="641"/>
        <v>0</v>
      </c>
      <c r="N483" s="232">
        <f t="shared" si="642"/>
        <v>0</v>
      </c>
      <c r="O483" s="232">
        <f t="shared" si="643"/>
        <v>0</v>
      </c>
      <c r="P483" s="232">
        <f t="shared" si="644"/>
        <v>0</v>
      </c>
    </row>
    <row r="484" spans="1:16" ht="12.75" customHeight="1" x14ac:dyDescent="0.25">
      <c r="B484" s="134"/>
      <c r="C484" s="108" t="s">
        <v>219</v>
      </c>
      <c r="D484" s="108"/>
      <c r="E484" s="202">
        <f t="shared" ref="E484:F484" si="647">SUM(E475:E483)</f>
        <v>0</v>
      </c>
      <c r="F484" s="202">
        <f t="shared" si="647"/>
        <v>0</v>
      </c>
      <c r="G484" s="231">
        <f t="shared" ref="G484:I484" si="648">SUM(G475:G483)</f>
        <v>0</v>
      </c>
      <c r="H484" s="202">
        <f t="shared" si="648"/>
        <v>0</v>
      </c>
      <c r="I484" s="202">
        <f t="shared" si="648"/>
        <v>0</v>
      </c>
      <c r="J484" s="202">
        <f t="shared" ref="J484:P484" si="649">SUM(J475:J483)</f>
        <v>0</v>
      </c>
      <c r="K484" s="202">
        <f t="shared" si="649"/>
        <v>0</v>
      </c>
      <c r="L484" s="202">
        <f t="shared" si="649"/>
        <v>0</v>
      </c>
      <c r="M484" s="202">
        <f t="shared" si="649"/>
        <v>0</v>
      </c>
      <c r="N484" s="202">
        <f t="shared" si="649"/>
        <v>0</v>
      </c>
      <c r="O484" s="202">
        <f t="shared" si="649"/>
        <v>0</v>
      </c>
      <c r="P484" s="202">
        <f t="shared" si="649"/>
        <v>0</v>
      </c>
    </row>
    <row r="485" spans="1:16" ht="12.75" customHeight="1" thickBot="1" x14ac:dyDescent="0.3">
      <c r="B485" s="225"/>
      <c r="C485" s="226"/>
      <c r="D485" s="226"/>
      <c r="E485" s="238"/>
      <c r="F485" s="238"/>
      <c r="G485" s="239"/>
      <c r="H485" s="238"/>
      <c r="I485" s="238"/>
      <c r="J485" s="238"/>
      <c r="K485" s="238"/>
      <c r="L485" s="238"/>
      <c r="M485" s="238"/>
      <c r="N485" s="238"/>
      <c r="O485" s="238"/>
      <c r="P485" s="238"/>
    </row>
    <row r="486" spans="1:16" ht="12.75" customHeight="1" thickTop="1" x14ac:dyDescent="0.25">
      <c r="B486" s="110" t="s">
        <v>8</v>
      </c>
      <c r="C486" s="108"/>
      <c r="D486" s="108"/>
      <c r="E486" s="240"/>
      <c r="F486" s="240"/>
      <c r="G486" s="241"/>
      <c r="H486" s="240"/>
      <c r="I486" s="240"/>
      <c r="J486" s="240"/>
      <c r="K486" s="240"/>
      <c r="L486" s="240"/>
      <c r="M486" s="240"/>
      <c r="N486" s="240"/>
      <c r="O486" s="240"/>
      <c r="P486" s="240"/>
    </row>
    <row r="487" spans="1:16" ht="12.75" customHeight="1" x14ac:dyDescent="0.25">
      <c r="B487" s="134"/>
      <c r="C487" s="108"/>
      <c r="D487" s="108"/>
      <c r="E487" s="202"/>
      <c r="F487" s="202"/>
      <c r="G487" s="231"/>
      <c r="H487" s="202"/>
      <c r="I487" s="202"/>
      <c r="J487" s="202"/>
      <c r="K487" s="202"/>
      <c r="L487" s="202"/>
      <c r="M487" s="202"/>
      <c r="N487" s="202"/>
      <c r="O487" s="202"/>
      <c r="P487" s="202"/>
    </row>
    <row r="488" spans="1:16" ht="12.75" customHeight="1" x14ac:dyDescent="0.25">
      <c r="A488" s="3"/>
      <c r="B488" s="72" t="s">
        <v>259</v>
      </c>
      <c r="E488" s="234"/>
      <c r="F488" s="234"/>
      <c r="G488" s="235"/>
      <c r="H488" s="234"/>
      <c r="I488" s="234"/>
      <c r="J488" s="234"/>
      <c r="K488" s="234"/>
      <c r="L488" s="234"/>
      <c r="M488" s="234"/>
      <c r="N488" s="234"/>
      <c r="O488" s="234"/>
      <c r="P488" s="234"/>
    </row>
    <row r="489" spans="1:16" ht="12.75" customHeight="1" x14ac:dyDescent="0.25">
      <c r="B489" s="110" t="s">
        <v>216</v>
      </c>
      <c r="C489" s="108"/>
      <c r="D489" s="108"/>
      <c r="E489" s="234"/>
      <c r="F489" s="234"/>
      <c r="G489" s="235"/>
      <c r="H489" s="234"/>
      <c r="I489" s="234"/>
      <c r="J489" s="234"/>
      <c r="K489" s="234"/>
      <c r="L489" s="234"/>
      <c r="M489" s="234"/>
      <c r="N489" s="234"/>
      <c r="O489" s="234"/>
      <c r="P489" s="234"/>
    </row>
    <row r="490" spans="1:16" ht="12.75" customHeight="1" x14ac:dyDescent="0.25">
      <c r="B490" s="134"/>
      <c r="C490" s="108" t="s">
        <v>206</v>
      </c>
      <c r="D490" s="108"/>
      <c r="E490" s="202">
        <f>IF(E$379&gt;0,E370/E$379,0)</f>
        <v>1</v>
      </c>
      <c r="F490" s="202">
        <f t="shared" ref="F490:I498" si="650">E490</f>
        <v>1</v>
      </c>
      <c r="G490" s="231">
        <f t="shared" si="650"/>
        <v>1</v>
      </c>
      <c r="H490" s="202">
        <f>G490</f>
        <v>1</v>
      </c>
      <c r="I490" s="202">
        <f>H490</f>
        <v>1</v>
      </c>
      <c r="J490" s="202">
        <f t="shared" ref="J490:P498" si="651">I490</f>
        <v>1</v>
      </c>
      <c r="K490" s="202">
        <f t="shared" si="651"/>
        <v>1</v>
      </c>
      <c r="L490" s="202">
        <f t="shared" si="651"/>
        <v>1</v>
      </c>
      <c r="M490" s="202">
        <f t="shared" si="651"/>
        <v>1</v>
      </c>
      <c r="N490" s="202">
        <f t="shared" si="651"/>
        <v>1</v>
      </c>
      <c r="O490" s="202">
        <f t="shared" si="651"/>
        <v>1</v>
      </c>
      <c r="P490" s="202">
        <f t="shared" si="651"/>
        <v>1</v>
      </c>
    </row>
    <row r="491" spans="1:16" ht="12.75" customHeight="1" x14ac:dyDescent="0.25">
      <c r="B491" s="134"/>
      <c r="C491" s="108" t="s">
        <v>214</v>
      </c>
      <c r="D491" s="108"/>
      <c r="E491" s="202">
        <f t="shared" ref="E491:E498" si="652">IF(E$379&gt;0,E371/E$379,0)</f>
        <v>0</v>
      </c>
      <c r="F491" s="202">
        <f t="shared" si="650"/>
        <v>0</v>
      </c>
      <c r="G491" s="231">
        <f t="shared" si="650"/>
        <v>0</v>
      </c>
      <c r="H491" s="202">
        <f t="shared" si="650"/>
        <v>0</v>
      </c>
      <c r="I491" s="202">
        <f t="shared" si="650"/>
        <v>0</v>
      </c>
      <c r="J491" s="202">
        <f t="shared" si="651"/>
        <v>0</v>
      </c>
      <c r="K491" s="202">
        <f t="shared" si="651"/>
        <v>0</v>
      </c>
      <c r="L491" s="202">
        <f t="shared" si="651"/>
        <v>0</v>
      </c>
      <c r="M491" s="202">
        <f t="shared" si="651"/>
        <v>0</v>
      </c>
      <c r="N491" s="202">
        <f t="shared" si="651"/>
        <v>0</v>
      </c>
      <c r="O491" s="202">
        <f t="shared" si="651"/>
        <v>0</v>
      </c>
      <c r="P491" s="202">
        <f t="shared" si="651"/>
        <v>0</v>
      </c>
    </row>
    <row r="492" spans="1:16" ht="12.75" customHeight="1" x14ac:dyDescent="0.25">
      <c r="B492" s="134"/>
      <c r="C492" s="108" t="s">
        <v>207</v>
      </c>
      <c r="D492" s="108"/>
      <c r="E492" s="202">
        <f t="shared" si="652"/>
        <v>0</v>
      </c>
      <c r="F492" s="202">
        <f t="shared" si="650"/>
        <v>0</v>
      </c>
      <c r="G492" s="231">
        <f t="shared" si="650"/>
        <v>0</v>
      </c>
      <c r="H492" s="202">
        <f t="shared" si="650"/>
        <v>0</v>
      </c>
      <c r="I492" s="202">
        <f t="shared" si="650"/>
        <v>0</v>
      </c>
      <c r="J492" s="202">
        <f t="shared" si="651"/>
        <v>0</v>
      </c>
      <c r="K492" s="202">
        <f t="shared" si="651"/>
        <v>0</v>
      </c>
      <c r="L492" s="202">
        <f t="shared" si="651"/>
        <v>0</v>
      </c>
      <c r="M492" s="202">
        <f t="shared" si="651"/>
        <v>0</v>
      </c>
      <c r="N492" s="202">
        <f t="shared" si="651"/>
        <v>0</v>
      </c>
      <c r="O492" s="202">
        <f t="shared" si="651"/>
        <v>0</v>
      </c>
      <c r="P492" s="202">
        <f t="shared" si="651"/>
        <v>0</v>
      </c>
    </row>
    <row r="493" spans="1:16" ht="12.75" customHeight="1" x14ac:dyDescent="0.25">
      <c r="B493" s="134"/>
      <c r="C493" s="108" t="s">
        <v>208</v>
      </c>
      <c r="D493" s="108"/>
      <c r="E493" s="202">
        <f t="shared" si="652"/>
        <v>0</v>
      </c>
      <c r="F493" s="202">
        <f t="shared" si="650"/>
        <v>0</v>
      </c>
      <c r="G493" s="231">
        <f t="shared" si="650"/>
        <v>0</v>
      </c>
      <c r="H493" s="202">
        <f t="shared" si="650"/>
        <v>0</v>
      </c>
      <c r="I493" s="202">
        <f t="shared" si="650"/>
        <v>0</v>
      </c>
      <c r="J493" s="202">
        <f t="shared" si="651"/>
        <v>0</v>
      </c>
      <c r="K493" s="202">
        <f t="shared" si="651"/>
        <v>0</v>
      </c>
      <c r="L493" s="202">
        <f t="shared" si="651"/>
        <v>0</v>
      </c>
      <c r="M493" s="202">
        <f t="shared" si="651"/>
        <v>0</v>
      </c>
      <c r="N493" s="202">
        <f t="shared" si="651"/>
        <v>0</v>
      </c>
      <c r="O493" s="202">
        <f t="shared" si="651"/>
        <v>0</v>
      </c>
      <c r="P493" s="202">
        <f t="shared" si="651"/>
        <v>0</v>
      </c>
    </row>
    <row r="494" spans="1:16" ht="12.75" customHeight="1" x14ac:dyDescent="0.25">
      <c r="B494" s="134"/>
      <c r="C494" s="108" t="s">
        <v>209</v>
      </c>
      <c r="D494" s="108"/>
      <c r="E494" s="202">
        <f t="shared" si="652"/>
        <v>0</v>
      </c>
      <c r="F494" s="202">
        <f t="shared" si="650"/>
        <v>0</v>
      </c>
      <c r="G494" s="231">
        <f t="shared" si="650"/>
        <v>0</v>
      </c>
      <c r="H494" s="202">
        <f t="shared" si="650"/>
        <v>0</v>
      </c>
      <c r="I494" s="202">
        <f t="shared" si="650"/>
        <v>0</v>
      </c>
      <c r="J494" s="202">
        <f t="shared" si="651"/>
        <v>0</v>
      </c>
      <c r="K494" s="202">
        <f t="shared" si="651"/>
        <v>0</v>
      </c>
      <c r="L494" s="202">
        <f t="shared" si="651"/>
        <v>0</v>
      </c>
      <c r="M494" s="202">
        <f t="shared" si="651"/>
        <v>0</v>
      </c>
      <c r="N494" s="202">
        <f t="shared" si="651"/>
        <v>0</v>
      </c>
      <c r="O494" s="202">
        <f t="shared" si="651"/>
        <v>0</v>
      </c>
      <c r="P494" s="202">
        <f t="shared" si="651"/>
        <v>0</v>
      </c>
    </row>
    <row r="495" spans="1:16" ht="12.75" customHeight="1" x14ac:dyDescent="0.25">
      <c r="B495" s="134"/>
      <c r="C495" s="108" t="s">
        <v>210</v>
      </c>
      <c r="D495" s="108"/>
      <c r="E495" s="202">
        <f t="shared" si="652"/>
        <v>0</v>
      </c>
      <c r="F495" s="202">
        <f t="shared" si="650"/>
        <v>0</v>
      </c>
      <c r="G495" s="231">
        <f t="shared" si="650"/>
        <v>0</v>
      </c>
      <c r="H495" s="202">
        <f t="shared" si="650"/>
        <v>0</v>
      </c>
      <c r="I495" s="202">
        <f t="shared" si="650"/>
        <v>0</v>
      </c>
      <c r="J495" s="202">
        <f t="shared" si="651"/>
        <v>0</v>
      </c>
      <c r="K495" s="202">
        <f t="shared" si="651"/>
        <v>0</v>
      </c>
      <c r="L495" s="202">
        <f t="shared" si="651"/>
        <v>0</v>
      </c>
      <c r="M495" s="202">
        <f t="shared" si="651"/>
        <v>0</v>
      </c>
      <c r="N495" s="202">
        <f t="shared" si="651"/>
        <v>0</v>
      </c>
      <c r="O495" s="202">
        <f t="shared" si="651"/>
        <v>0</v>
      </c>
      <c r="P495" s="202">
        <f t="shared" si="651"/>
        <v>0</v>
      </c>
    </row>
    <row r="496" spans="1:16" ht="12.75" customHeight="1" x14ac:dyDescent="0.25">
      <c r="B496" s="134"/>
      <c r="C496" s="108" t="s">
        <v>211</v>
      </c>
      <c r="D496" s="108"/>
      <c r="E496" s="202">
        <f t="shared" si="652"/>
        <v>0</v>
      </c>
      <c r="F496" s="202">
        <f t="shared" si="650"/>
        <v>0</v>
      </c>
      <c r="G496" s="231">
        <f t="shared" si="650"/>
        <v>0</v>
      </c>
      <c r="H496" s="202">
        <f t="shared" si="650"/>
        <v>0</v>
      </c>
      <c r="I496" s="202">
        <f t="shared" si="650"/>
        <v>0</v>
      </c>
      <c r="J496" s="202">
        <f t="shared" si="651"/>
        <v>0</v>
      </c>
      <c r="K496" s="202">
        <f t="shared" si="651"/>
        <v>0</v>
      </c>
      <c r="L496" s="202">
        <f t="shared" si="651"/>
        <v>0</v>
      </c>
      <c r="M496" s="202">
        <f t="shared" si="651"/>
        <v>0</v>
      </c>
      <c r="N496" s="202">
        <f t="shared" si="651"/>
        <v>0</v>
      </c>
      <c r="O496" s="202">
        <f t="shared" si="651"/>
        <v>0</v>
      </c>
      <c r="P496" s="202">
        <f t="shared" si="651"/>
        <v>0</v>
      </c>
    </row>
    <row r="497" spans="1:16" ht="12.75" customHeight="1" x14ac:dyDescent="0.25">
      <c r="B497" s="134"/>
      <c r="C497" s="108" t="s">
        <v>212</v>
      </c>
      <c r="D497" s="108"/>
      <c r="E497" s="202">
        <f t="shared" si="652"/>
        <v>0</v>
      </c>
      <c r="F497" s="202">
        <f t="shared" si="650"/>
        <v>0</v>
      </c>
      <c r="G497" s="231">
        <f t="shared" si="650"/>
        <v>0</v>
      </c>
      <c r="H497" s="202">
        <f t="shared" si="650"/>
        <v>0</v>
      </c>
      <c r="I497" s="202">
        <f t="shared" si="650"/>
        <v>0</v>
      </c>
      <c r="J497" s="202">
        <f t="shared" si="651"/>
        <v>0</v>
      </c>
      <c r="K497" s="202">
        <f t="shared" si="651"/>
        <v>0</v>
      </c>
      <c r="L497" s="202">
        <f t="shared" si="651"/>
        <v>0</v>
      </c>
      <c r="M497" s="202">
        <f t="shared" si="651"/>
        <v>0</v>
      </c>
      <c r="N497" s="202">
        <f t="shared" si="651"/>
        <v>0</v>
      </c>
      <c r="O497" s="202">
        <f t="shared" si="651"/>
        <v>0</v>
      </c>
      <c r="P497" s="202">
        <f t="shared" si="651"/>
        <v>0</v>
      </c>
    </row>
    <row r="498" spans="1:16" ht="12.75" customHeight="1" x14ac:dyDescent="0.25">
      <c r="A498" s="73"/>
      <c r="B498" s="133"/>
      <c r="C498" s="136" t="s">
        <v>213</v>
      </c>
      <c r="D498" s="136"/>
      <c r="E498" s="232">
        <f t="shared" si="652"/>
        <v>0</v>
      </c>
      <c r="F498" s="232">
        <f t="shared" si="650"/>
        <v>0</v>
      </c>
      <c r="G498" s="233">
        <f t="shared" si="650"/>
        <v>0</v>
      </c>
      <c r="H498" s="232">
        <f t="shared" si="650"/>
        <v>0</v>
      </c>
      <c r="I498" s="232">
        <f t="shared" si="650"/>
        <v>0</v>
      </c>
      <c r="J498" s="232">
        <f t="shared" si="651"/>
        <v>0</v>
      </c>
      <c r="K498" s="232">
        <f t="shared" si="651"/>
        <v>0</v>
      </c>
      <c r="L498" s="232">
        <f t="shared" si="651"/>
        <v>0</v>
      </c>
      <c r="M498" s="232">
        <f t="shared" si="651"/>
        <v>0</v>
      </c>
      <c r="N498" s="232">
        <f t="shared" si="651"/>
        <v>0</v>
      </c>
      <c r="O498" s="232">
        <f t="shared" si="651"/>
        <v>0</v>
      </c>
      <c r="P498" s="232">
        <f t="shared" si="651"/>
        <v>0</v>
      </c>
    </row>
    <row r="499" spans="1:16" ht="12.75" customHeight="1" x14ac:dyDescent="0.25">
      <c r="B499" s="134"/>
      <c r="C499" s="108" t="s">
        <v>219</v>
      </c>
      <c r="D499" s="108"/>
      <c r="E499" s="202">
        <f t="shared" ref="E499:F499" si="653">SUM(E490:E498)</f>
        <v>1</v>
      </c>
      <c r="F499" s="202">
        <f t="shared" si="653"/>
        <v>1</v>
      </c>
      <c r="G499" s="231">
        <f t="shared" ref="G499:I499" si="654">SUM(G490:G498)</f>
        <v>1</v>
      </c>
      <c r="H499" s="202">
        <f t="shared" si="654"/>
        <v>1</v>
      </c>
      <c r="I499" s="202">
        <f t="shared" si="654"/>
        <v>1</v>
      </c>
      <c r="J499" s="202">
        <f t="shared" ref="J499:P499" si="655">SUM(J490:J498)</f>
        <v>1</v>
      </c>
      <c r="K499" s="202">
        <f t="shared" si="655"/>
        <v>1</v>
      </c>
      <c r="L499" s="202">
        <f t="shared" si="655"/>
        <v>1</v>
      </c>
      <c r="M499" s="202">
        <f t="shared" si="655"/>
        <v>1</v>
      </c>
      <c r="N499" s="202">
        <f t="shared" si="655"/>
        <v>1</v>
      </c>
      <c r="O499" s="202">
        <f t="shared" si="655"/>
        <v>1</v>
      </c>
      <c r="P499" s="202">
        <f t="shared" si="655"/>
        <v>1</v>
      </c>
    </row>
    <row r="500" spans="1:16" ht="12.75" customHeight="1" x14ac:dyDescent="0.25">
      <c r="B500" s="134"/>
      <c r="C500" s="108"/>
      <c r="D500" s="108"/>
      <c r="E500" s="202"/>
      <c r="F500" s="202"/>
      <c r="G500" s="231"/>
      <c r="H500" s="202"/>
      <c r="I500" s="202"/>
      <c r="J500" s="202"/>
      <c r="K500" s="202"/>
      <c r="L500" s="202"/>
      <c r="M500" s="202"/>
      <c r="N500" s="202"/>
      <c r="O500" s="202"/>
      <c r="P500" s="202"/>
    </row>
    <row r="501" spans="1:16" ht="12.75" customHeight="1" x14ac:dyDescent="0.25">
      <c r="B501" s="110" t="s">
        <v>343</v>
      </c>
      <c r="C501" s="108"/>
      <c r="D501" s="108"/>
      <c r="E501" s="234"/>
      <c r="F501" s="234"/>
      <c r="G501" s="235"/>
      <c r="H501" s="234"/>
      <c r="I501" s="234"/>
      <c r="J501" s="234"/>
      <c r="K501" s="234"/>
      <c r="L501" s="234"/>
      <c r="M501" s="234"/>
      <c r="N501" s="234"/>
      <c r="O501" s="234"/>
      <c r="P501" s="234"/>
    </row>
    <row r="502" spans="1:16" ht="12.75" customHeight="1" x14ac:dyDescent="0.25">
      <c r="B502" s="134"/>
      <c r="C502" s="108" t="s">
        <v>206</v>
      </c>
      <c r="D502" s="108"/>
      <c r="E502" s="202">
        <f>IF(E$391&gt;0,E382/E$391,0)</f>
        <v>1</v>
      </c>
      <c r="F502" s="202">
        <f t="shared" ref="F502:I510" si="656">E502</f>
        <v>1</v>
      </c>
      <c r="G502" s="231">
        <f t="shared" si="656"/>
        <v>1</v>
      </c>
      <c r="H502" s="202">
        <f>G502</f>
        <v>1</v>
      </c>
      <c r="I502" s="202">
        <f>H502</f>
        <v>1</v>
      </c>
      <c r="J502" s="202">
        <f t="shared" ref="J502:P510" si="657">I502</f>
        <v>1</v>
      </c>
      <c r="K502" s="202">
        <f t="shared" si="657"/>
        <v>1</v>
      </c>
      <c r="L502" s="202">
        <f t="shared" si="657"/>
        <v>1</v>
      </c>
      <c r="M502" s="202">
        <f t="shared" si="657"/>
        <v>1</v>
      </c>
      <c r="N502" s="202">
        <f t="shared" si="657"/>
        <v>1</v>
      </c>
      <c r="O502" s="202">
        <f t="shared" si="657"/>
        <v>1</v>
      </c>
      <c r="P502" s="202">
        <f t="shared" si="657"/>
        <v>1</v>
      </c>
    </row>
    <row r="503" spans="1:16" ht="12.75" customHeight="1" x14ac:dyDescent="0.25">
      <c r="B503" s="134"/>
      <c r="C503" s="108" t="s">
        <v>214</v>
      </c>
      <c r="D503" s="108"/>
      <c r="E503" s="202">
        <f t="shared" ref="E503:E510" si="658">IF(E$391&gt;0,E383/E$391,0)</f>
        <v>0</v>
      </c>
      <c r="F503" s="202">
        <f t="shared" si="656"/>
        <v>0</v>
      </c>
      <c r="G503" s="231">
        <f t="shared" si="656"/>
        <v>0</v>
      </c>
      <c r="H503" s="202">
        <f t="shared" si="656"/>
        <v>0</v>
      </c>
      <c r="I503" s="202">
        <f t="shared" si="656"/>
        <v>0</v>
      </c>
      <c r="J503" s="202">
        <f t="shared" si="657"/>
        <v>0</v>
      </c>
      <c r="K503" s="202">
        <f t="shared" si="657"/>
        <v>0</v>
      </c>
      <c r="L503" s="202">
        <f t="shared" si="657"/>
        <v>0</v>
      </c>
      <c r="M503" s="202">
        <f t="shared" si="657"/>
        <v>0</v>
      </c>
      <c r="N503" s="202">
        <f t="shared" si="657"/>
        <v>0</v>
      </c>
      <c r="O503" s="202">
        <f t="shared" si="657"/>
        <v>0</v>
      </c>
      <c r="P503" s="202">
        <f t="shared" si="657"/>
        <v>0</v>
      </c>
    </row>
    <row r="504" spans="1:16" ht="12.75" customHeight="1" x14ac:dyDescent="0.25">
      <c r="B504" s="134"/>
      <c r="C504" s="108" t="s">
        <v>207</v>
      </c>
      <c r="D504" s="108"/>
      <c r="E504" s="202">
        <f t="shared" si="658"/>
        <v>0</v>
      </c>
      <c r="F504" s="202">
        <f t="shared" si="656"/>
        <v>0</v>
      </c>
      <c r="G504" s="231">
        <f t="shared" si="656"/>
        <v>0</v>
      </c>
      <c r="H504" s="202">
        <f t="shared" si="656"/>
        <v>0</v>
      </c>
      <c r="I504" s="202">
        <f t="shared" si="656"/>
        <v>0</v>
      </c>
      <c r="J504" s="202">
        <f t="shared" si="657"/>
        <v>0</v>
      </c>
      <c r="K504" s="202">
        <f t="shared" si="657"/>
        <v>0</v>
      </c>
      <c r="L504" s="202">
        <f t="shared" si="657"/>
        <v>0</v>
      </c>
      <c r="M504" s="202">
        <f t="shared" si="657"/>
        <v>0</v>
      </c>
      <c r="N504" s="202">
        <f t="shared" si="657"/>
        <v>0</v>
      </c>
      <c r="O504" s="202">
        <f t="shared" si="657"/>
        <v>0</v>
      </c>
      <c r="P504" s="202">
        <f t="shared" si="657"/>
        <v>0</v>
      </c>
    </row>
    <row r="505" spans="1:16" ht="12.75" customHeight="1" x14ac:dyDescent="0.25">
      <c r="B505" s="134"/>
      <c r="C505" s="108" t="s">
        <v>208</v>
      </c>
      <c r="D505" s="108"/>
      <c r="E505" s="202">
        <f t="shared" si="658"/>
        <v>0</v>
      </c>
      <c r="F505" s="202">
        <f t="shared" si="656"/>
        <v>0</v>
      </c>
      <c r="G505" s="231">
        <f t="shared" si="656"/>
        <v>0</v>
      </c>
      <c r="H505" s="202">
        <f t="shared" si="656"/>
        <v>0</v>
      </c>
      <c r="I505" s="202">
        <f t="shared" si="656"/>
        <v>0</v>
      </c>
      <c r="J505" s="202">
        <f t="shared" si="657"/>
        <v>0</v>
      </c>
      <c r="K505" s="202">
        <f t="shared" si="657"/>
        <v>0</v>
      </c>
      <c r="L505" s="202">
        <f t="shared" si="657"/>
        <v>0</v>
      </c>
      <c r="M505" s="202">
        <f t="shared" si="657"/>
        <v>0</v>
      </c>
      <c r="N505" s="202">
        <f t="shared" si="657"/>
        <v>0</v>
      </c>
      <c r="O505" s="202">
        <f t="shared" si="657"/>
        <v>0</v>
      </c>
      <c r="P505" s="202">
        <f t="shared" si="657"/>
        <v>0</v>
      </c>
    </row>
    <row r="506" spans="1:16" ht="12.75" customHeight="1" x14ac:dyDescent="0.25">
      <c r="B506" s="134"/>
      <c r="C506" s="108" t="s">
        <v>209</v>
      </c>
      <c r="D506" s="108"/>
      <c r="E506" s="202">
        <f t="shared" si="658"/>
        <v>0</v>
      </c>
      <c r="F506" s="202">
        <f t="shared" si="656"/>
        <v>0</v>
      </c>
      <c r="G506" s="231">
        <f t="shared" si="656"/>
        <v>0</v>
      </c>
      <c r="H506" s="202">
        <f t="shared" si="656"/>
        <v>0</v>
      </c>
      <c r="I506" s="202">
        <f t="shared" si="656"/>
        <v>0</v>
      </c>
      <c r="J506" s="202">
        <f t="shared" si="657"/>
        <v>0</v>
      </c>
      <c r="K506" s="202">
        <f t="shared" si="657"/>
        <v>0</v>
      </c>
      <c r="L506" s="202">
        <f t="shared" si="657"/>
        <v>0</v>
      </c>
      <c r="M506" s="202">
        <f t="shared" si="657"/>
        <v>0</v>
      </c>
      <c r="N506" s="202">
        <f t="shared" si="657"/>
        <v>0</v>
      </c>
      <c r="O506" s="202">
        <f t="shared" si="657"/>
        <v>0</v>
      </c>
      <c r="P506" s="202">
        <f t="shared" si="657"/>
        <v>0</v>
      </c>
    </row>
    <row r="507" spans="1:16" ht="12.75" customHeight="1" x14ac:dyDescent="0.25">
      <c r="B507" s="134"/>
      <c r="C507" s="108" t="s">
        <v>210</v>
      </c>
      <c r="D507" s="108"/>
      <c r="E507" s="202">
        <f t="shared" si="658"/>
        <v>0</v>
      </c>
      <c r="F507" s="202">
        <f t="shared" si="656"/>
        <v>0</v>
      </c>
      <c r="G507" s="231">
        <f t="shared" si="656"/>
        <v>0</v>
      </c>
      <c r="H507" s="202">
        <f t="shared" si="656"/>
        <v>0</v>
      </c>
      <c r="I507" s="202">
        <f t="shared" si="656"/>
        <v>0</v>
      </c>
      <c r="J507" s="202">
        <f t="shared" si="657"/>
        <v>0</v>
      </c>
      <c r="K507" s="202">
        <f t="shared" si="657"/>
        <v>0</v>
      </c>
      <c r="L507" s="202">
        <f t="shared" si="657"/>
        <v>0</v>
      </c>
      <c r="M507" s="202">
        <f t="shared" si="657"/>
        <v>0</v>
      </c>
      <c r="N507" s="202">
        <f t="shared" si="657"/>
        <v>0</v>
      </c>
      <c r="O507" s="202">
        <f t="shared" si="657"/>
        <v>0</v>
      </c>
      <c r="P507" s="202">
        <f t="shared" si="657"/>
        <v>0</v>
      </c>
    </row>
    <row r="508" spans="1:16" ht="12.75" customHeight="1" x14ac:dyDescent="0.25">
      <c r="B508" s="134"/>
      <c r="C508" s="108" t="s">
        <v>211</v>
      </c>
      <c r="D508" s="108"/>
      <c r="E508" s="202">
        <f t="shared" si="658"/>
        <v>0</v>
      </c>
      <c r="F508" s="202">
        <f t="shared" si="656"/>
        <v>0</v>
      </c>
      <c r="G508" s="231">
        <f t="shared" si="656"/>
        <v>0</v>
      </c>
      <c r="H508" s="202">
        <f t="shared" si="656"/>
        <v>0</v>
      </c>
      <c r="I508" s="202">
        <f t="shared" si="656"/>
        <v>0</v>
      </c>
      <c r="J508" s="202">
        <f t="shared" si="657"/>
        <v>0</v>
      </c>
      <c r="K508" s="202">
        <f t="shared" si="657"/>
        <v>0</v>
      </c>
      <c r="L508" s="202">
        <f t="shared" si="657"/>
        <v>0</v>
      </c>
      <c r="M508" s="202">
        <f t="shared" si="657"/>
        <v>0</v>
      </c>
      <c r="N508" s="202">
        <f t="shared" si="657"/>
        <v>0</v>
      </c>
      <c r="O508" s="202">
        <f t="shared" si="657"/>
        <v>0</v>
      </c>
      <c r="P508" s="202">
        <f t="shared" si="657"/>
        <v>0</v>
      </c>
    </row>
    <row r="509" spans="1:16" ht="12.75" customHeight="1" x14ac:dyDescent="0.25">
      <c r="B509" s="134"/>
      <c r="C509" s="108" t="s">
        <v>212</v>
      </c>
      <c r="D509" s="108"/>
      <c r="E509" s="202">
        <f t="shared" si="658"/>
        <v>0</v>
      </c>
      <c r="F509" s="202">
        <f t="shared" si="656"/>
        <v>0</v>
      </c>
      <c r="G509" s="231">
        <f t="shared" si="656"/>
        <v>0</v>
      </c>
      <c r="H509" s="202">
        <f t="shared" si="656"/>
        <v>0</v>
      </c>
      <c r="I509" s="202">
        <f t="shared" si="656"/>
        <v>0</v>
      </c>
      <c r="J509" s="202">
        <f t="shared" si="657"/>
        <v>0</v>
      </c>
      <c r="K509" s="202">
        <f t="shared" si="657"/>
        <v>0</v>
      </c>
      <c r="L509" s="202">
        <f t="shared" si="657"/>
        <v>0</v>
      </c>
      <c r="M509" s="202">
        <f t="shared" si="657"/>
        <v>0</v>
      </c>
      <c r="N509" s="202">
        <f t="shared" si="657"/>
        <v>0</v>
      </c>
      <c r="O509" s="202">
        <f t="shared" si="657"/>
        <v>0</v>
      </c>
      <c r="P509" s="202">
        <f t="shared" si="657"/>
        <v>0</v>
      </c>
    </row>
    <row r="510" spans="1:16" ht="12.75" customHeight="1" x14ac:dyDescent="0.25">
      <c r="A510" s="73"/>
      <c r="B510" s="133"/>
      <c r="C510" s="136" t="s">
        <v>213</v>
      </c>
      <c r="D510" s="136"/>
      <c r="E510" s="232">
        <f t="shared" si="658"/>
        <v>0</v>
      </c>
      <c r="F510" s="232">
        <f t="shared" si="656"/>
        <v>0</v>
      </c>
      <c r="G510" s="233">
        <f t="shared" si="656"/>
        <v>0</v>
      </c>
      <c r="H510" s="232">
        <f t="shared" si="656"/>
        <v>0</v>
      </c>
      <c r="I510" s="232">
        <f t="shared" si="656"/>
        <v>0</v>
      </c>
      <c r="J510" s="232">
        <f t="shared" si="657"/>
        <v>0</v>
      </c>
      <c r="K510" s="232">
        <f t="shared" si="657"/>
        <v>0</v>
      </c>
      <c r="L510" s="232">
        <f t="shared" si="657"/>
        <v>0</v>
      </c>
      <c r="M510" s="232">
        <f t="shared" si="657"/>
        <v>0</v>
      </c>
      <c r="N510" s="232">
        <f t="shared" si="657"/>
        <v>0</v>
      </c>
      <c r="O510" s="232">
        <f t="shared" si="657"/>
        <v>0</v>
      </c>
      <c r="P510" s="232">
        <f t="shared" si="657"/>
        <v>0</v>
      </c>
    </row>
    <row r="511" spans="1:16" ht="12.75" customHeight="1" x14ac:dyDescent="0.25">
      <c r="B511" s="134"/>
      <c r="C511" s="108" t="s">
        <v>219</v>
      </c>
      <c r="D511" s="108"/>
      <c r="E511" s="202">
        <f t="shared" ref="E511:F511" si="659">SUM(E502:E510)</f>
        <v>1</v>
      </c>
      <c r="F511" s="202">
        <f t="shared" si="659"/>
        <v>1</v>
      </c>
      <c r="G511" s="231">
        <f t="shared" ref="G511:I511" si="660">SUM(G502:G510)</f>
        <v>1</v>
      </c>
      <c r="H511" s="202">
        <f t="shared" si="660"/>
        <v>1</v>
      </c>
      <c r="I511" s="202">
        <f t="shared" si="660"/>
        <v>1</v>
      </c>
      <c r="J511" s="202">
        <f t="shared" ref="J511:P511" si="661">SUM(J502:J510)</f>
        <v>1</v>
      </c>
      <c r="K511" s="202">
        <f t="shared" si="661"/>
        <v>1</v>
      </c>
      <c r="L511" s="202">
        <f t="shared" si="661"/>
        <v>1</v>
      </c>
      <c r="M511" s="202">
        <f t="shared" si="661"/>
        <v>1</v>
      </c>
      <c r="N511" s="202">
        <f t="shared" si="661"/>
        <v>1</v>
      </c>
      <c r="O511" s="202">
        <f t="shared" si="661"/>
        <v>1</v>
      </c>
      <c r="P511" s="202">
        <f t="shared" si="661"/>
        <v>1</v>
      </c>
    </row>
    <row r="512" spans="1:16" ht="12.75" customHeight="1" x14ac:dyDescent="0.25">
      <c r="B512" s="134"/>
      <c r="C512" s="108"/>
      <c r="D512" s="108"/>
      <c r="E512" s="202"/>
      <c r="F512" s="202"/>
      <c r="G512" s="231"/>
      <c r="H512" s="202"/>
      <c r="I512" s="202"/>
      <c r="J512" s="202"/>
      <c r="K512" s="202"/>
      <c r="L512" s="202"/>
      <c r="M512" s="202"/>
      <c r="N512" s="202"/>
      <c r="O512" s="202"/>
      <c r="P512" s="202"/>
    </row>
    <row r="513" spans="1:16" ht="12.75" customHeight="1" x14ac:dyDescent="0.25">
      <c r="B513" s="110" t="s">
        <v>297</v>
      </c>
      <c r="C513" s="108"/>
      <c r="D513" s="108"/>
      <c r="E513" s="234"/>
      <c r="F513" s="234"/>
      <c r="G513" s="235"/>
      <c r="H513" s="234"/>
      <c r="I513" s="234"/>
      <c r="J513" s="234"/>
      <c r="K513" s="234"/>
      <c r="L513" s="234"/>
      <c r="M513" s="234"/>
      <c r="N513" s="234"/>
      <c r="O513" s="234"/>
      <c r="P513" s="234"/>
    </row>
    <row r="514" spans="1:16" ht="12.75" customHeight="1" x14ac:dyDescent="0.25">
      <c r="B514" s="134"/>
      <c r="C514" s="108" t="s">
        <v>206</v>
      </c>
      <c r="D514" s="108"/>
      <c r="E514" s="202">
        <f>IF(E$403&gt;0,E394/E$403,0)</f>
        <v>0</v>
      </c>
      <c r="F514" s="202">
        <f t="shared" ref="F514:I522" si="662">E514</f>
        <v>0</v>
      </c>
      <c r="G514" s="231">
        <f t="shared" si="662"/>
        <v>0</v>
      </c>
      <c r="H514" s="202">
        <f>G514</f>
        <v>0</v>
      </c>
      <c r="I514" s="202">
        <f>H514</f>
        <v>0</v>
      </c>
      <c r="J514" s="202">
        <f t="shared" ref="J514:P522" si="663">I514</f>
        <v>0</v>
      </c>
      <c r="K514" s="202">
        <f t="shared" si="663"/>
        <v>0</v>
      </c>
      <c r="L514" s="202">
        <f t="shared" si="663"/>
        <v>0</v>
      </c>
      <c r="M514" s="202">
        <f t="shared" si="663"/>
        <v>0</v>
      </c>
      <c r="N514" s="202">
        <f t="shared" si="663"/>
        <v>0</v>
      </c>
      <c r="O514" s="202">
        <f t="shared" si="663"/>
        <v>0</v>
      </c>
      <c r="P514" s="202">
        <f t="shared" si="663"/>
        <v>0</v>
      </c>
    </row>
    <row r="515" spans="1:16" ht="12.75" customHeight="1" x14ac:dyDescent="0.25">
      <c r="B515" s="134"/>
      <c r="C515" s="108" t="s">
        <v>214</v>
      </c>
      <c r="D515" s="108"/>
      <c r="E515" s="202">
        <f t="shared" ref="E515:E522" si="664">IF(E$403&gt;0,E395/E$403,0)</f>
        <v>0</v>
      </c>
      <c r="F515" s="202">
        <f t="shared" si="662"/>
        <v>0</v>
      </c>
      <c r="G515" s="231">
        <f t="shared" si="662"/>
        <v>0</v>
      </c>
      <c r="H515" s="202">
        <f t="shared" si="662"/>
        <v>0</v>
      </c>
      <c r="I515" s="202">
        <f t="shared" si="662"/>
        <v>0</v>
      </c>
      <c r="J515" s="202">
        <f t="shared" si="663"/>
        <v>0</v>
      </c>
      <c r="K515" s="202">
        <f t="shared" si="663"/>
        <v>0</v>
      </c>
      <c r="L515" s="202">
        <f t="shared" si="663"/>
        <v>0</v>
      </c>
      <c r="M515" s="202">
        <f t="shared" si="663"/>
        <v>0</v>
      </c>
      <c r="N515" s="202">
        <f t="shared" si="663"/>
        <v>0</v>
      </c>
      <c r="O515" s="202">
        <f t="shared" si="663"/>
        <v>0</v>
      </c>
      <c r="P515" s="202">
        <f t="shared" si="663"/>
        <v>0</v>
      </c>
    </row>
    <row r="516" spans="1:16" ht="12.75" customHeight="1" x14ac:dyDescent="0.25">
      <c r="B516" s="134"/>
      <c r="C516" s="108" t="s">
        <v>207</v>
      </c>
      <c r="D516" s="108"/>
      <c r="E516" s="202">
        <f t="shared" si="664"/>
        <v>0</v>
      </c>
      <c r="F516" s="202">
        <f t="shared" si="662"/>
        <v>0</v>
      </c>
      <c r="G516" s="231">
        <f t="shared" si="662"/>
        <v>0</v>
      </c>
      <c r="H516" s="202">
        <f t="shared" si="662"/>
        <v>0</v>
      </c>
      <c r="I516" s="202">
        <f t="shared" si="662"/>
        <v>0</v>
      </c>
      <c r="J516" s="202">
        <f t="shared" si="663"/>
        <v>0</v>
      </c>
      <c r="K516" s="202">
        <f t="shared" si="663"/>
        <v>0</v>
      </c>
      <c r="L516" s="202">
        <f t="shared" si="663"/>
        <v>0</v>
      </c>
      <c r="M516" s="202">
        <f t="shared" si="663"/>
        <v>0</v>
      </c>
      <c r="N516" s="202">
        <f t="shared" si="663"/>
        <v>0</v>
      </c>
      <c r="O516" s="202">
        <f t="shared" si="663"/>
        <v>0</v>
      </c>
      <c r="P516" s="202">
        <f t="shared" si="663"/>
        <v>0</v>
      </c>
    </row>
    <row r="517" spans="1:16" ht="12.75" customHeight="1" x14ac:dyDescent="0.25">
      <c r="B517" s="134"/>
      <c r="C517" s="108" t="s">
        <v>208</v>
      </c>
      <c r="D517" s="108"/>
      <c r="E517" s="202">
        <f t="shared" si="664"/>
        <v>0</v>
      </c>
      <c r="F517" s="202">
        <f t="shared" si="662"/>
        <v>0</v>
      </c>
      <c r="G517" s="231">
        <f t="shared" si="662"/>
        <v>0</v>
      </c>
      <c r="H517" s="202">
        <f t="shared" si="662"/>
        <v>0</v>
      </c>
      <c r="I517" s="202">
        <f t="shared" si="662"/>
        <v>0</v>
      </c>
      <c r="J517" s="202">
        <f t="shared" si="663"/>
        <v>0</v>
      </c>
      <c r="K517" s="202">
        <f t="shared" si="663"/>
        <v>0</v>
      </c>
      <c r="L517" s="202">
        <f t="shared" si="663"/>
        <v>0</v>
      </c>
      <c r="M517" s="202">
        <f t="shared" si="663"/>
        <v>0</v>
      </c>
      <c r="N517" s="202">
        <f t="shared" si="663"/>
        <v>0</v>
      </c>
      <c r="O517" s="202">
        <f t="shared" si="663"/>
        <v>0</v>
      </c>
      <c r="P517" s="202">
        <f t="shared" si="663"/>
        <v>0</v>
      </c>
    </row>
    <row r="518" spans="1:16" ht="12.75" customHeight="1" x14ac:dyDescent="0.25">
      <c r="B518" s="134"/>
      <c r="C518" s="108" t="s">
        <v>209</v>
      </c>
      <c r="D518" s="108"/>
      <c r="E518" s="202">
        <f t="shared" si="664"/>
        <v>0</v>
      </c>
      <c r="F518" s="202">
        <f t="shared" si="662"/>
        <v>0</v>
      </c>
      <c r="G518" s="231">
        <f t="shared" si="662"/>
        <v>0</v>
      </c>
      <c r="H518" s="202">
        <f t="shared" si="662"/>
        <v>0</v>
      </c>
      <c r="I518" s="202">
        <f t="shared" si="662"/>
        <v>0</v>
      </c>
      <c r="J518" s="202">
        <f t="shared" si="663"/>
        <v>0</v>
      </c>
      <c r="K518" s="202">
        <f t="shared" si="663"/>
        <v>0</v>
      </c>
      <c r="L518" s="202">
        <f t="shared" si="663"/>
        <v>0</v>
      </c>
      <c r="M518" s="202">
        <f t="shared" si="663"/>
        <v>0</v>
      </c>
      <c r="N518" s="202">
        <f t="shared" si="663"/>
        <v>0</v>
      </c>
      <c r="O518" s="202">
        <f t="shared" si="663"/>
        <v>0</v>
      </c>
      <c r="P518" s="202">
        <f t="shared" si="663"/>
        <v>0</v>
      </c>
    </row>
    <row r="519" spans="1:16" ht="12.75" customHeight="1" x14ac:dyDescent="0.25">
      <c r="B519" s="134"/>
      <c r="C519" s="108" t="s">
        <v>210</v>
      </c>
      <c r="D519" s="108"/>
      <c r="E519" s="202">
        <f t="shared" si="664"/>
        <v>0</v>
      </c>
      <c r="F519" s="202">
        <f t="shared" si="662"/>
        <v>0</v>
      </c>
      <c r="G519" s="231">
        <f t="shared" si="662"/>
        <v>0</v>
      </c>
      <c r="H519" s="202">
        <f t="shared" si="662"/>
        <v>0</v>
      </c>
      <c r="I519" s="202">
        <f t="shared" si="662"/>
        <v>0</v>
      </c>
      <c r="J519" s="202">
        <f t="shared" si="663"/>
        <v>0</v>
      </c>
      <c r="K519" s="202">
        <f t="shared" si="663"/>
        <v>0</v>
      </c>
      <c r="L519" s="202">
        <f t="shared" si="663"/>
        <v>0</v>
      </c>
      <c r="M519" s="202">
        <f t="shared" si="663"/>
        <v>0</v>
      </c>
      <c r="N519" s="202">
        <f t="shared" si="663"/>
        <v>0</v>
      </c>
      <c r="O519" s="202">
        <f t="shared" si="663"/>
        <v>0</v>
      </c>
      <c r="P519" s="202">
        <f t="shared" si="663"/>
        <v>0</v>
      </c>
    </row>
    <row r="520" spans="1:16" ht="12.75" customHeight="1" x14ac:dyDescent="0.25">
      <c r="B520" s="134"/>
      <c r="C520" s="108" t="s">
        <v>211</v>
      </c>
      <c r="D520" s="108"/>
      <c r="E520" s="202">
        <f t="shared" si="664"/>
        <v>0</v>
      </c>
      <c r="F520" s="202">
        <f t="shared" si="662"/>
        <v>0</v>
      </c>
      <c r="G520" s="231">
        <f t="shared" si="662"/>
        <v>0</v>
      </c>
      <c r="H520" s="202">
        <f t="shared" si="662"/>
        <v>0</v>
      </c>
      <c r="I520" s="202">
        <f t="shared" si="662"/>
        <v>0</v>
      </c>
      <c r="J520" s="202">
        <f t="shared" si="663"/>
        <v>0</v>
      </c>
      <c r="K520" s="202">
        <f t="shared" si="663"/>
        <v>0</v>
      </c>
      <c r="L520" s="202">
        <f t="shared" si="663"/>
        <v>0</v>
      </c>
      <c r="M520" s="202">
        <f t="shared" si="663"/>
        <v>0</v>
      </c>
      <c r="N520" s="202">
        <f t="shared" si="663"/>
        <v>0</v>
      </c>
      <c r="O520" s="202">
        <f t="shared" si="663"/>
        <v>0</v>
      </c>
      <c r="P520" s="202">
        <f t="shared" si="663"/>
        <v>0</v>
      </c>
    </row>
    <row r="521" spans="1:16" ht="12.75" customHeight="1" x14ac:dyDescent="0.25">
      <c r="B521" s="134"/>
      <c r="C521" s="108" t="s">
        <v>212</v>
      </c>
      <c r="D521" s="108"/>
      <c r="E521" s="202">
        <f t="shared" si="664"/>
        <v>0</v>
      </c>
      <c r="F521" s="202">
        <f t="shared" si="662"/>
        <v>0</v>
      </c>
      <c r="G521" s="231">
        <f t="shared" si="662"/>
        <v>0</v>
      </c>
      <c r="H521" s="202">
        <f t="shared" si="662"/>
        <v>0</v>
      </c>
      <c r="I521" s="202">
        <f t="shared" si="662"/>
        <v>0</v>
      </c>
      <c r="J521" s="202">
        <f t="shared" si="663"/>
        <v>0</v>
      </c>
      <c r="K521" s="202">
        <f t="shared" si="663"/>
        <v>0</v>
      </c>
      <c r="L521" s="202">
        <f t="shared" si="663"/>
        <v>0</v>
      </c>
      <c r="M521" s="202">
        <f t="shared" si="663"/>
        <v>0</v>
      </c>
      <c r="N521" s="202">
        <f t="shared" si="663"/>
        <v>0</v>
      </c>
      <c r="O521" s="202">
        <f t="shared" si="663"/>
        <v>0</v>
      </c>
      <c r="P521" s="202">
        <f t="shared" si="663"/>
        <v>0</v>
      </c>
    </row>
    <row r="522" spans="1:16" ht="12.75" customHeight="1" x14ac:dyDescent="0.25">
      <c r="A522" s="73"/>
      <c r="B522" s="133"/>
      <c r="C522" s="136" t="s">
        <v>213</v>
      </c>
      <c r="D522" s="136"/>
      <c r="E522" s="232">
        <f t="shared" si="664"/>
        <v>0</v>
      </c>
      <c r="F522" s="232">
        <f t="shared" si="662"/>
        <v>0</v>
      </c>
      <c r="G522" s="233">
        <f t="shared" si="662"/>
        <v>0</v>
      </c>
      <c r="H522" s="232">
        <f t="shared" si="662"/>
        <v>0</v>
      </c>
      <c r="I522" s="232">
        <f t="shared" si="662"/>
        <v>0</v>
      </c>
      <c r="J522" s="232">
        <f t="shared" si="663"/>
        <v>0</v>
      </c>
      <c r="K522" s="232">
        <f t="shared" si="663"/>
        <v>0</v>
      </c>
      <c r="L522" s="232">
        <f t="shared" si="663"/>
        <v>0</v>
      </c>
      <c r="M522" s="232">
        <f t="shared" si="663"/>
        <v>0</v>
      </c>
      <c r="N522" s="232">
        <f t="shared" si="663"/>
        <v>0</v>
      </c>
      <c r="O522" s="232">
        <f t="shared" si="663"/>
        <v>0</v>
      </c>
      <c r="P522" s="232">
        <f t="shared" si="663"/>
        <v>0</v>
      </c>
    </row>
    <row r="523" spans="1:16" ht="12.75" customHeight="1" x14ac:dyDescent="0.25">
      <c r="B523" s="134"/>
      <c r="C523" s="108" t="s">
        <v>219</v>
      </c>
      <c r="D523" s="108"/>
      <c r="E523" s="202">
        <f t="shared" ref="E523:F523" si="665">SUM(E514:E522)</f>
        <v>0</v>
      </c>
      <c r="F523" s="202">
        <f t="shared" si="665"/>
        <v>0</v>
      </c>
      <c r="G523" s="231">
        <f t="shared" ref="G523:I523" si="666">SUM(G514:G522)</f>
        <v>0</v>
      </c>
      <c r="H523" s="202">
        <f t="shared" si="666"/>
        <v>0</v>
      </c>
      <c r="I523" s="202">
        <f t="shared" si="666"/>
        <v>0</v>
      </c>
      <c r="J523" s="202">
        <f t="shared" ref="J523:P523" si="667">SUM(J514:J522)</f>
        <v>0</v>
      </c>
      <c r="K523" s="202">
        <f t="shared" si="667"/>
        <v>0</v>
      </c>
      <c r="L523" s="202">
        <f t="shared" si="667"/>
        <v>0</v>
      </c>
      <c r="M523" s="202">
        <f t="shared" si="667"/>
        <v>0</v>
      </c>
      <c r="N523" s="202">
        <f t="shared" si="667"/>
        <v>0</v>
      </c>
      <c r="O523" s="202">
        <f t="shared" si="667"/>
        <v>0</v>
      </c>
      <c r="P523" s="202">
        <f t="shared" si="667"/>
        <v>0</v>
      </c>
    </row>
    <row r="524" spans="1:16" ht="12.75" customHeight="1" x14ac:dyDescent="0.25">
      <c r="B524" s="134"/>
      <c r="C524" s="108"/>
      <c r="D524" s="108"/>
      <c r="E524" s="202"/>
      <c r="F524" s="202"/>
      <c r="G524" s="231"/>
      <c r="H524" s="202"/>
      <c r="I524" s="202"/>
      <c r="J524" s="202"/>
      <c r="K524" s="202"/>
      <c r="L524" s="202"/>
      <c r="M524" s="202"/>
      <c r="N524" s="202"/>
      <c r="O524" s="202"/>
      <c r="P524" s="202"/>
    </row>
    <row r="525" spans="1:16" ht="12.75" customHeight="1" x14ac:dyDescent="0.25">
      <c r="B525" s="29" t="s">
        <v>297</v>
      </c>
      <c r="C525" s="108"/>
      <c r="D525" s="108"/>
      <c r="E525" s="236"/>
      <c r="F525" s="236"/>
      <c r="G525" s="237"/>
      <c r="H525" s="236"/>
      <c r="I525" s="236"/>
      <c r="J525" s="236"/>
      <c r="K525" s="236"/>
      <c r="L525" s="236"/>
      <c r="M525" s="236"/>
      <c r="N525" s="236"/>
      <c r="O525" s="236"/>
      <c r="P525" s="236"/>
    </row>
    <row r="526" spans="1:16" ht="12.75" customHeight="1" x14ac:dyDescent="0.25">
      <c r="B526" s="134"/>
      <c r="C526" s="108" t="s">
        <v>206</v>
      </c>
      <c r="D526" s="108"/>
      <c r="E526" s="202">
        <f>IF(E$415&gt;0,E406/E$415,0)</f>
        <v>0</v>
      </c>
      <c r="F526" s="202">
        <f t="shared" ref="F526:I534" si="668">E526</f>
        <v>0</v>
      </c>
      <c r="G526" s="231">
        <f t="shared" si="668"/>
        <v>0</v>
      </c>
      <c r="H526" s="202">
        <f>G526</f>
        <v>0</v>
      </c>
      <c r="I526" s="202">
        <f>H526</f>
        <v>0</v>
      </c>
      <c r="J526" s="202">
        <f t="shared" ref="J526:P534" si="669">I526</f>
        <v>0</v>
      </c>
      <c r="K526" s="202">
        <f t="shared" si="669"/>
        <v>0</v>
      </c>
      <c r="L526" s="202">
        <f t="shared" si="669"/>
        <v>0</v>
      </c>
      <c r="M526" s="202">
        <f t="shared" si="669"/>
        <v>0</v>
      </c>
      <c r="N526" s="202">
        <f t="shared" si="669"/>
        <v>0</v>
      </c>
      <c r="O526" s="202">
        <f t="shared" si="669"/>
        <v>0</v>
      </c>
      <c r="P526" s="202">
        <f t="shared" si="669"/>
        <v>0</v>
      </c>
    </row>
    <row r="527" spans="1:16" ht="12.75" customHeight="1" x14ac:dyDescent="0.25">
      <c r="B527" s="134"/>
      <c r="C527" s="108" t="s">
        <v>214</v>
      </c>
      <c r="D527" s="108"/>
      <c r="E527" s="202">
        <f t="shared" ref="E527:E534" si="670">IF(E$415&gt;0,E407/E$415,0)</f>
        <v>0</v>
      </c>
      <c r="F527" s="202">
        <f t="shared" si="668"/>
        <v>0</v>
      </c>
      <c r="G527" s="231">
        <f t="shared" si="668"/>
        <v>0</v>
      </c>
      <c r="H527" s="202">
        <f t="shared" si="668"/>
        <v>0</v>
      </c>
      <c r="I527" s="202">
        <f t="shared" si="668"/>
        <v>0</v>
      </c>
      <c r="J527" s="202">
        <f t="shared" si="669"/>
        <v>0</v>
      </c>
      <c r="K527" s="202">
        <f t="shared" si="669"/>
        <v>0</v>
      </c>
      <c r="L527" s="202">
        <f t="shared" si="669"/>
        <v>0</v>
      </c>
      <c r="M527" s="202">
        <f t="shared" si="669"/>
        <v>0</v>
      </c>
      <c r="N527" s="202">
        <f t="shared" si="669"/>
        <v>0</v>
      </c>
      <c r="O527" s="202">
        <f t="shared" si="669"/>
        <v>0</v>
      </c>
      <c r="P527" s="202">
        <f t="shared" si="669"/>
        <v>0</v>
      </c>
    </row>
    <row r="528" spans="1:16" ht="12.75" customHeight="1" x14ac:dyDescent="0.25">
      <c r="B528" s="134"/>
      <c r="C528" s="108" t="s">
        <v>207</v>
      </c>
      <c r="D528" s="108"/>
      <c r="E528" s="202">
        <f t="shared" si="670"/>
        <v>0</v>
      </c>
      <c r="F528" s="202">
        <f t="shared" si="668"/>
        <v>0</v>
      </c>
      <c r="G528" s="231">
        <f t="shared" si="668"/>
        <v>0</v>
      </c>
      <c r="H528" s="202">
        <f t="shared" si="668"/>
        <v>0</v>
      </c>
      <c r="I528" s="202">
        <f t="shared" si="668"/>
        <v>0</v>
      </c>
      <c r="J528" s="202">
        <f t="shared" si="669"/>
        <v>0</v>
      </c>
      <c r="K528" s="202">
        <f t="shared" si="669"/>
        <v>0</v>
      </c>
      <c r="L528" s="202">
        <f t="shared" si="669"/>
        <v>0</v>
      </c>
      <c r="M528" s="202">
        <f t="shared" si="669"/>
        <v>0</v>
      </c>
      <c r="N528" s="202">
        <f t="shared" si="669"/>
        <v>0</v>
      </c>
      <c r="O528" s="202">
        <f t="shared" si="669"/>
        <v>0</v>
      </c>
      <c r="P528" s="202">
        <f t="shared" si="669"/>
        <v>0</v>
      </c>
    </row>
    <row r="529" spans="1:16" ht="12.75" customHeight="1" x14ac:dyDescent="0.25">
      <c r="B529" s="134"/>
      <c r="C529" s="108" t="s">
        <v>208</v>
      </c>
      <c r="D529" s="108"/>
      <c r="E529" s="202">
        <f t="shared" si="670"/>
        <v>0</v>
      </c>
      <c r="F529" s="202">
        <f t="shared" si="668"/>
        <v>0</v>
      </c>
      <c r="G529" s="231">
        <f t="shared" si="668"/>
        <v>0</v>
      </c>
      <c r="H529" s="202">
        <f t="shared" si="668"/>
        <v>0</v>
      </c>
      <c r="I529" s="202">
        <f t="shared" si="668"/>
        <v>0</v>
      </c>
      <c r="J529" s="202">
        <f t="shared" si="669"/>
        <v>0</v>
      </c>
      <c r="K529" s="202">
        <f t="shared" si="669"/>
        <v>0</v>
      </c>
      <c r="L529" s="202">
        <f t="shared" si="669"/>
        <v>0</v>
      </c>
      <c r="M529" s="202">
        <f t="shared" si="669"/>
        <v>0</v>
      </c>
      <c r="N529" s="202">
        <f t="shared" si="669"/>
        <v>0</v>
      </c>
      <c r="O529" s="202">
        <f t="shared" si="669"/>
        <v>0</v>
      </c>
      <c r="P529" s="202">
        <f t="shared" si="669"/>
        <v>0</v>
      </c>
    </row>
    <row r="530" spans="1:16" ht="12.75" customHeight="1" x14ac:dyDescent="0.25">
      <c r="B530" s="134"/>
      <c r="C530" s="108" t="s">
        <v>209</v>
      </c>
      <c r="D530" s="108"/>
      <c r="E530" s="202">
        <f t="shared" si="670"/>
        <v>0</v>
      </c>
      <c r="F530" s="202">
        <f t="shared" si="668"/>
        <v>0</v>
      </c>
      <c r="G530" s="231">
        <f t="shared" si="668"/>
        <v>0</v>
      </c>
      <c r="H530" s="202">
        <f t="shared" si="668"/>
        <v>0</v>
      </c>
      <c r="I530" s="202">
        <f t="shared" si="668"/>
        <v>0</v>
      </c>
      <c r="J530" s="202">
        <f t="shared" si="669"/>
        <v>0</v>
      </c>
      <c r="K530" s="202">
        <f t="shared" si="669"/>
        <v>0</v>
      </c>
      <c r="L530" s="202">
        <f t="shared" si="669"/>
        <v>0</v>
      </c>
      <c r="M530" s="202">
        <f t="shared" si="669"/>
        <v>0</v>
      </c>
      <c r="N530" s="202">
        <f t="shared" si="669"/>
        <v>0</v>
      </c>
      <c r="O530" s="202">
        <f t="shared" si="669"/>
        <v>0</v>
      </c>
      <c r="P530" s="202">
        <f t="shared" si="669"/>
        <v>0</v>
      </c>
    </row>
    <row r="531" spans="1:16" ht="12.75" customHeight="1" x14ac:dyDescent="0.25">
      <c r="B531" s="134"/>
      <c r="C531" s="108" t="s">
        <v>210</v>
      </c>
      <c r="D531" s="108"/>
      <c r="E531" s="202">
        <f t="shared" si="670"/>
        <v>0</v>
      </c>
      <c r="F531" s="202">
        <f t="shared" si="668"/>
        <v>0</v>
      </c>
      <c r="G531" s="231">
        <f t="shared" si="668"/>
        <v>0</v>
      </c>
      <c r="H531" s="202">
        <f t="shared" si="668"/>
        <v>0</v>
      </c>
      <c r="I531" s="202">
        <f t="shared" si="668"/>
        <v>0</v>
      </c>
      <c r="J531" s="202">
        <f t="shared" si="669"/>
        <v>0</v>
      </c>
      <c r="K531" s="202">
        <f t="shared" si="669"/>
        <v>0</v>
      </c>
      <c r="L531" s="202">
        <f t="shared" si="669"/>
        <v>0</v>
      </c>
      <c r="M531" s="202">
        <f t="shared" si="669"/>
        <v>0</v>
      </c>
      <c r="N531" s="202">
        <f t="shared" si="669"/>
        <v>0</v>
      </c>
      <c r="O531" s="202">
        <f t="shared" si="669"/>
        <v>0</v>
      </c>
      <c r="P531" s="202">
        <f t="shared" si="669"/>
        <v>0</v>
      </c>
    </row>
    <row r="532" spans="1:16" ht="12.75" customHeight="1" x14ac:dyDescent="0.25">
      <c r="B532" s="134"/>
      <c r="C532" s="108" t="s">
        <v>211</v>
      </c>
      <c r="D532" s="108"/>
      <c r="E532" s="202">
        <f t="shared" si="670"/>
        <v>0</v>
      </c>
      <c r="F532" s="202">
        <f t="shared" si="668"/>
        <v>0</v>
      </c>
      <c r="G532" s="231">
        <f t="shared" si="668"/>
        <v>0</v>
      </c>
      <c r="H532" s="202">
        <f t="shared" si="668"/>
        <v>0</v>
      </c>
      <c r="I532" s="202">
        <f t="shared" si="668"/>
        <v>0</v>
      </c>
      <c r="J532" s="202">
        <f t="shared" si="669"/>
        <v>0</v>
      </c>
      <c r="K532" s="202">
        <f t="shared" si="669"/>
        <v>0</v>
      </c>
      <c r="L532" s="202">
        <f t="shared" si="669"/>
        <v>0</v>
      </c>
      <c r="M532" s="202">
        <f t="shared" si="669"/>
        <v>0</v>
      </c>
      <c r="N532" s="202">
        <f t="shared" si="669"/>
        <v>0</v>
      </c>
      <c r="O532" s="202">
        <f t="shared" si="669"/>
        <v>0</v>
      </c>
      <c r="P532" s="202">
        <f t="shared" si="669"/>
        <v>0</v>
      </c>
    </row>
    <row r="533" spans="1:16" ht="12.75" customHeight="1" x14ac:dyDescent="0.25">
      <c r="B533" s="134"/>
      <c r="C533" s="108" t="s">
        <v>212</v>
      </c>
      <c r="D533" s="108"/>
      <c r="E533" s="202">
        <f t="shared" si="670"/>
        <v>0</v>
      </c>
      <c r="F533" s="202">
        <f t="shared" si="668"/>
        <v>0</v>
      </c>
      <c r="G533" s="231">
        <f t="shared" si="668"/>
        <v>0</v>
      </c>
      <c r="H533" s="202">
        <f t="shared" si="668"/>
        <v>0</v>
      </c>
      <c r="I533" s="202">
        <f t="shared" si="668"/>
        <v>0</v>
      </c>
      <c r="J533" s="202">
        <f t="shared" si="669"/>
        <v>0</v>
      </c>
      <c r="K533" s="202">
        <f t="shared" si="669"/>
        <v>0</v>
      </c>
      <c r="L533" s="202">
        <f t="shared" si="669"/>
        <v>0</v>
      </c>
      <c r="M533" s="202">
        <f t="shared" si="669"/>
        <v>0</v>
      </c>
      <c r="N533" s="202">
        <f t="shared" si="669"/>
        <v>0</v>
      </c>
      <c r="O533" s="202">
        <f t="shared" si="669"/>
        <v>0</v>
      </c>
      <c r="P533" s="202">
        <f t="shared" si="669"/>
        <v>0</v>
      </c>
    </row>
    <row r="534" spans="1:16" ht="12.75" customHeight="1" x14ac:dyDescent="0.25">
      <c r="A534" s="73"/>
      <c r="B534" s="133"/>
      <c r="C534" s="136" t="s">
        <v>213</v>
      </c>
      <c r="D534" s="136"/>
      <c r="E534" s="232">
        <f t="shared" si="670"/>
        <v>0</v>
      </c>
      <c r="F534" s="232">
        <f t="shared" si="668"/>
        <v>0</v>
      </c>
      <c r="G534" s="233">
        <f t="shared" si="668"/>
        <v>0</v>
      </c>
      <c r="H534" s="232">
        <f t="shared" si="668"/>
        <v>0</v>
      </c>
      <c r="I534" s="232">
        <f t="shared" si="668"/>
        <v>0</v>
      </c>
      <c r="J534" s="232">
        <f t="shared" si="669"/>
        <v>0</v>
      </c>
      <c r="K534" s="232">
        <f t="shared" si="669"/>
        <v>0</v>
      </c>
      <c r="L534" s="232">
        <f t="shared" si="669"/>
        <v>0</v>
      </c>
      <c r="M534" s="232">
        <f t="shared" si="669"/>
        <v>0</v>
      </c>
      <c r="N534" s="232">
        <f t="shared" si="669"/>
        <v>0</v>
      </c>
      <c r="O534" s="232">
        <f t="shared" si="669"/>
        <v>0</v>
      </c>
      <c r="P534" s="232">
        <f t="shared" si="669"/>
        <v>0</v>
      </c>
    </row>
    <row r="535" spans="1:16" ht="12.75" customHeight="1" x14ac:dyDescent="0.25">
      <c r="B535" s="134"/>
      <c r="C535" s="108" t="s">
        <v>219</v>
      </c>
      <c r="D535" s="108"/>
      <c r="E535" s="202">
        <f t="shared" ref="E535:F535" si="671">SUM(E526:E534)</f>
        <v>0</v>
      </c>
      <c r="F535" s="202">
        <f t="shared" si="671"/>
        <v>0</v>
      </c>
      <c r="G535" s="231">
        <f t="shared" ref="G535:I535" si="672">SUM(G526:G534)</f>
        <v>0</v>
      </c>
      <c r="H535" s="202">
        <f t="shared" si="672"/>
        <v>0</v>
      </c>
      <c r="I535" s="202">
        <f t="shared" si="672"/>
        <v>0</v>
      </c>
      <c r="J535" s="202">
        <f t="shared" ref="J535:P535" si="673">SUM(J526:J534)</f>
        <v>0</v>
      </c>
      <c r="K535" s="202">
        <f t="shared" si="673"/>
        <v>0</v>
      </c>
      <c r="L535" s="202">
        <f t="shared" si="673"/>
        <v>0</v>
      </c>
      <c r="M535" s="202">
        <f t="shared" si="673"/>
        <v>0</v>
      </c>
      <c r="N535" s="202">
        <f t="shared" si="673"/>
        <v>0</v>
      </c>
      <c r="O535" s="202">
        <f t="shared" si="673"/>
        <v>0</v>
      </c>
      <c r="P535" s="202">
        <f t="shared" si="673"/>
        <v>0</v>
      </c>
    </row>
    <row r="536" spans="1:16" ht="12.75" customHeight="1" thickBot="1" x14ac:dyDescent="0.3">
      <c r="B536" s="225"/>
      <c r="C536" s="226"/>
      <c r="D536" s="226"/>
      <c r="E536" s="227"/>
      <c r="F536" s="238"/>
      <c r="G536" s="239"/>
      <c r="H536" s="238"/>
      <c r="I536" s="238"/>
      <c r="J536" s="238"/>
      <c r="K536" s="238"/>
      <c r="L536" s="238"/>
      <c r="M536" s="238"/>
      <c r="N536" s="238"/>
      <c r="O536" s="238"/>
      <c r="P536" s="238"/>
    </row>
    <row r="537" spans="1:16" ht="12.75" customHeight="1" thickTop="1" x14ac:dyDescent="0.25">
      <c r="B537" s="110" t="s">
        <v>9</v>
      </c>
      <c r="C537" s="108"/>
      <c r="D537" s="108"/>
      <c r="E537" s="135"/>
      <c r="F537" s="240"/>
      <c r="G537" s="241"/>
      <c r="H537" s="240"/>
      <c r="I537" s="240"/>
      <c r="J537" s="240"/>
      <c r="K537" s="240"/>
      <c r="L537" s="240"/>
      <c r="M537" s="240"/>
      <c r="N537" s="240"/>
      <c r="O537" s="240"/>
      <c r="P537" s="240"/>
    </row>
    <row r="538" spans="1:16" ht="12.75" customHeight="1" x14ac:dyDescent="0.25">
      <c r="E538" s="135"/>
      <c r="F538" s="240"/>
      <c r="G538" s="241"/>
      <c r="H538" s="240"/>
      <c r="I538" s="240"/>
      <c r="J538" s="240"/>
      <c r="K538" s="240"/>
      <c r="L538" s="240"/>
      <c r="M538" s="240"/>
      <c r="N538" s="240"/>
      <c r="O538" s="240"/>
      <c r="P538" s="240"/>
    </row>
    <row r="539" spans="1:16" ht="12.75" customHeight="1" x14ac:dyDescent="0.25">
      <c r="A539" s="72" t="s">
        <v>103</v>
      </c>
      <c r="D539" s="41"/>
      <c r="E539" s="25"/>
      <c r="F539" s="236"/>
      <c r="G539" s="237"/>
      <c r="H539" s="236"/>
      <c r="I539" s="236"/>
      <c r="J539" s="236"/>
      <c r="K539" s="236"/>
      <c r="L539" s="236"/>
      <c r="M539" s="236"/>
      <c r="N539" s="236"/>
      <c r="O539" s="236"/>
      <c r="P539" s="236"/>
    </row>
    <row r="540" spans="1:16" ht="12.75" customHeight="1" x14ac:dyDescent="0.25">
      <c r="B540" s="22" t="s">
        <v>86</v>
      </c>
      <c r="C540" s="22"/>
      <c r="D540" s="223"/>
      <c r="E540" s="55">
        <f>IF(E$420&gt;0,E420/E$420,0)</f>
        <v>0</v>
      </c>
      <c r="F540" s="55">
        <f t="shared" ref="F540:I540" si="674">E540</f>
        <v>0</v>
      </c>
      <c r="G540" s="371">
        <f t="shared" si="674"/>
        <v>0</v>
      </c>
      <c r="H540" s="55">
        <f t="shared" si="674"/>
        <v>0</v>
      </c>
      <c r="I540" s="55">
        <f t="shared" si="674"/>
        <v>0</v>
      </c>
      <c r="J540" s="55">
        <f t="shared" ref="J540" si="675">I540</f>
        <v>0</v>
      </c>
      <c r="K540" s="55">
        <f t="shared" ref="K540" si="676">J540</f>
        <v>0</v>
      </c>
      <c r="L540" s="55">
        <f t="shared" ref="L540" si="677">K540</f>
        <v>0</v>
      </c>
      <c r="M540" s="55">
        <f t="shared" ref="M540" si="678">L540</f>
        <v>0</v>
      </c>
      <c r="N540" s="55">
        <f t="shared" ref="N540" si="679">M540</f>
        <v>0</v>
      </c>
      <c r="O540" s="55">
        <f t="shared" ref="O540" si="680">N540</f>
        <v>0</v>
      </c>
      <c r="P540" s="55">
        <f t="shared" ref="P540" si="681">O540</f>
        <v>0</v>
      </c>
    </row>
    <row r="541" spans="1:16" ht="12.75" customHeight="1" x14ac:dyDescent="0.25">
      <c r="B541" s="29" t="s">
        <v>104</v>
      </c>
      <c r="D541" s="41"/>
      <c r="E541" s="54">
        <f t="shared" ref="E541:F541" si="682">E540</f>
        <v>0</v>
      </c>
      <c r="F541" s="54">
        <f t="shared" si="682"/>
        <v>0</v>
      </c>
      <c r="G541" s="170">
        <f t="shared" ref="G541:I541" si="683">G540</f>
        <v>0</v>
      </c>
      <c r="H541" s="54">
        <f t="shared" si="683"/>
        <v>0</v>
      </c>
      <c r="I541" s="54">
        <f t="shared" si="683"/>
        <v>0</v>
      </c>
      <c r="J541" s="54">
        <f t="shared" ref="J541:P541" si="684">J540</f>
        <v>0</v>
      </c>
      <c r="K541" s="54">
        <f t="shared" si="684"/>
        <v>0</v>
      </c>
      <c r="L541" s="54">
        <f t="shared" si="684"/>
        <v>0</v>
      </c>
      <c r="M541" s="54">
        <f t="shared" si="684"/>
        <v>0</v>
      </c>
      <c r="N541" s="54">
        <f t="shared" si="684"/>
        <v>0</v>
      </c>
      <c r="O541" s="54">
        <f t="shared" si="684"/>
        <v>0</v>
      </c>
      <c r="P541" s="54">
        <f t="shared" si="684"/>
        <v>0</v>
      </c>
    </row>
    <row r="542" spans="1:16" ht="12.75" customHeight="1" x14ac:dyDescent="0.25">
      <c r="E542" s="135"/>
      <c r="F542" s="135"/>
      <c r="G542" s="194"/>
      <c r="H542" s="135"/>
      <c r="I542" s="135"/>
      <c r="J542" s="135"/>
      <c r="K542" s="135"/>
      <c r="L542" s="135"/>
      <c r="M542" s="135"/>
      <c r="N542" s="135"/>
      <c r="O542" s="135"/>
      <c r="P542" s="135"/>
    </row>
    <row r="543" spans="1:16" ht="12.75" customHeight="1" x14ac:dyDescent="0.25">
      <c r="A543" s="72" t="s">
        <v>252</v>
      </c>
      <c r="G543" s="151"/>
    </row>
    <row r="544" spans="1:16" ht="12.75" customHeight="1" x14ac:dyDescent="0.25">
      <c r="A544" s="72"/>
      <c r="B544" s="72" t="s">
        <v>204</v>
      </c>
      <c r="G544" s="151"/>
    </row>
    <row r="545" spans="1:16" ht="12.75" customHeight="1" x14ac:dyDescent="0.25">
      <c r="B545" s="110" t="s">
        <v>216</v>
      </c>
      <c r="C545" s="108"/>
      <c r="D545" s="108"/>
      <c r="G545" s="151"/>
    </row>
    <row r="546" spans="1:16" ht="12.75" customHeight="1" x14ac:dyDescent="0.25">
      <c r="B546" s="134"/>
      <c r="C546" s="108" t="s">
        <v>206</v>
      </c>
      <c r="D546" s="108"/>
      <c r="E546" s="135"/>
      <c r="F546" s="135">
        <f>(F$9-E$9)*F439</f>
        <v>0</v>
      </c>
      <c r="G546" s="194">
        <f>(G$9-F$9)*G439</f>
        <v>0</v>
      </c>
      <c r="H546" s="135">
        <f t="shared" ref="F546:I554" si="685">(H$9-G$9)*H439</f>
        <v>0</v>
      </c>
      <c r="I546" s="135">
        <f t="shared" si="685"/>
        <v>0</v>
      </c>
      <c r="J546" s="135">
        <f t="shared" ref="J546:J554" si="686">(J$9-I$9)*J439</f>
        <v>0</v>
      </c>
      <c r="K546" s="135">
        <f t="shared" ref="K546:K554" si="687">(K$9-J$9)*K439</f>
        <v>0</v>
      </c>
      <c r="L546" s="135">
        <f t="shared" ref="L546:L554" si="688">(L$9-K$9)*L439</f>
        <v>0</v>
      </c>
      <c r="M546" s="135">
        <f t="shared" ref="M546:M554" si="689">(M$9-L$9)*M439</f>
        <v>0</v>
      </c>
      <c r="N546" s="135">
        <f t="shared" ref="N546:N554" si="690">(N$9-M$9)*N439</f>
        <v>0</v>
      </c>
      <c r="O546" s="135">
        <f t="shared" ref="O546:O554" si="691">(O$9-N$9)*O439</f>
        <v>0</v>
      </c>
      <c r="P546" s="135">
        <f t="shared" ref="P546:P554" si="692">(P$9-O$9)*P439</f>
        <v>0</v>
      </c>
    </row>
    <row r="547" spans="1:16" ht="12.75" customHeight="1" x14ac:dyDescent="0.25">
      <c r="B547" s="134"/>
      <c r="C547" s="108" t="s">
        <v>214</v>
      </c>
      <c r="D547" s="108"/>
      <c r="E547" s="135"/>
      <c r="F547" s="135">
        <f>(F$9-E$9)*F440</f>
        <v>0</v>
      </c>
      <c r="G547" s="194">
        <f>(G$9-F$9)*G440</f>
        <v>0</v>
      </c>
      <c r="H547" s="135">
        <f t="shared" si="685"/>
        <v>0</v>
      </c>
      <c r="I547" s="135">
        <f t="shared" si="685"/>
        <v>0</v>
      </c>
      <c r="J547" s="135">
        <f t="shared" si="686"/>
        <v>0</v>
      </c>
      <c r="K547" s="135">
        <f t="shared" si="687"/>
        <v>0</v>
      </c>
      <c r="L547" s="135">
        <f t="shared" si="688"/>
        <v>0</v>
      </c>
      <c r="M547" s="135">
        <f t="shared" si="689"/>
        <v>0</v>
      </c>
      <c r="N547" s="135">
        <f t="shared" si="690"/>
        <v>0</v>
      </c>
      <c r="O547" s="135">
        <f t="shared" si="691"/>
        <v>0</v>
      </c>
      <c r="P547" s="135">
        <f t="shared" si="692"/>
        <v>0</v>
      </c>
    </row>
    <row r="548" spans="1:16" ht="12.75" customHeight="1" x14ac:dyDescent="0.25">
      <c r="B548" s="134"/>
      <c r="C548" s="108" t="s">
        <v>207</v>
      </c>
      <c r="D548" s="108"/>
      <c r="E548" s="135"/>
      <c r="F548" s="135">
        <f t="shared" si="685"/>
        <v>0</v>
      </c>
      <c r="G548" s="194">
        <f t="shared" si="685"/>
        <v>0</v>
      </c>
      <c r="H548" s="135">
        <f t="shared" si="685"/>
        <v>0</v>
      </c>
      <c r="I548" s="135">
        <f t="shared" si="685"/>
        <v>0</v>
      </c>
      <c r="J548" s="135">
        <f t="shared" si="686"/>
        <v>0</v>
      </c>
      <c r="K548" s="135">
        <f t="shared" si="687"/>
        <v>0</v>
      </c>
      <c r="L548" s="135">
        <f t="shared" si="688"/>
        <v>0</v>
      </c>
      <c r="M548" s="135">
        <f t="shared" si="689"/>
        <v>0</v>
      </c>
      <c r="N548" s="135">
        <f t="shared" si="690"/>
        <v>0</v>
      </c>
      <c r="O548" s="135">
        <f t="shared" si="691"/>
        <v>0</v>
      </c>
      <c r="P548" s="135">
        <f t="shared" si="692"/>
        <v>0</v>
      </c>
    </row>
    <row r="549" spans="1:16" ht="12.75" customHeight="1" x14ac:dyDescent="0.25">
      <c r="B549" s="134"/>
      <c r="C549" s="108" t="s">
        <v>208</v>
      </c>
      <c r="D549" s="108"/>
      <c r="E549" s="135"/>
      <c r="F549" s="135">
        <f t="shared" si="685"/>
        <v>0</v>
      </c>
      <c r="G549" s="194">
        <f t="shared" si="685"/>
        <v>0</v>
      </c>
      <c r="H549" s="135">
        <f t="shared" si="685"/>
        <v>0</v>
      </c>
      <c r="I549" s="135">
        <f t="shared" si="685"/>
        <v>0</v>
      </c>
      <c r="J549" s="135">
        <f t="shared" si="686"/>
        <v>0</v>
      </c>
      <c r="K549" s="135">
        <f t="shared" si="687"/>
        <v>0</v>
      </c>
      <c r="L549" s="135">
        <f t="shared" si="688"/>
        <v>0</v>
      </c>
      <c r="M549" s="135">
        <f t="shared" si="689"/>
        <v>0</v>
      </c>
      <c r="N549" s="135">
        <f t="shared" si="690"/>
        <v>0</v>
      </c>
      <c r="O549" s="135">
        <f t="shared" si="691"/>
        <v>0</v>
      </c>
      <c r="P549" s="135">
        <f t="shared" si="692"/>
        <v>0</v>
      </c>
    </row>
    <row r="550" spans="1:16" ht="12.75" customHeight="1" x14ac:dyDescent="0.25">
      <c r="B550" s="134"/>
      <c r="C550" s="108" t="s">
        <v>209</v>
      </c>
      <c r="D550" s="108"/>
      <c r="E550" s="135"/>
      <c r="F550" s="135">
        <f t="shared" si="685"/>
        <v>0</v>
      </c>
      <c r="G550" s="194">
        <f t="shared" si="685"/>
        <v>0</v>
      </c>
      <c r="H550" s="135">
        <f t="shared" si="685"/>
        <v>0</v>
      </c>
      <c r="I550" s="135">
        <f t="shared" si="685"/>
        <v>0</v>
      </c>
      <c r="J550" s="135">
        <f t="shared" si="686"/>
        <v>0</v>
      </c>
      <c r="K550" s="135">
        <f t="shared" si="687"/>
        <v>0</v>
      </c>
      <c r="L550" s="135">
        <f t="shared" si="688"/>
        <v>0</v>
      </c>
      <c r="M550" s="135">
        <f t="shared" si="689"/>
        <v>0</v>
      </c>
      <c r="N550" s="135">
        <f t="shared" si="690"/>
        <v>0</v>
      </c>
      <c r="O550" s="135">
        <f t="shared" si="691"/>
        <v>0</v>
      </c>
      <c r="P550" s="135">
        <f t="shared" si="692"/>
        <v>0</v>
      </c>
    </row>
    <row r="551" spans="1:16" ht="12.75" customHeight="1" x14ac:dyDescent="0.25">
      <c r="B551" s="134"/>
      <c r="C551" s="108" t="s">
        <v>210</v>
      </c>
      <c r="D551" s="108"/>
      <c r="E551" s="135"/>
      <c r="F551" s="135">
        <f t="shared" si="685"/>
        <v>0</v>
      </c>
      <c r="G551" s="194">
        <f t="shared" si="685"/>
        <v>0</v>
      </c>
      <c r="H551" s="135">
        <f t="shared" si="685"/>
        <v>0</v>
      </c>
      <c r="I551" s="135">
        <f t="shared" si="685"/>
        <v>0</v>
      </c>
      <c r="J551" s="135">
        <f t="shared" si="686"/>
        <v>0</v>
      </c>
      <c r="K551" s="135">
        <f t="shared" si="687"/>
        <v>0</v>
      </c>
      <c r="L551" s="135">
        <f t="shared" si="688"/>
        <v>0</v>
      </c>
      <c r="M551" s="135">
        <f t="shared" si="689"/>
        <v>0</v>
      </c>
      <c r="N551" s="135">
        <f t="shared" si="690"/>
        <v>0</v>
      </c>
      <c r="O551" s="135">
        <f t="shared" si="691"/>
        <v>0</v>
      </c>
      <c r="P551" s="135">
        <f t="shared" si="692"/>
        <v>0</v>
      </c>
    </row>
    <row r="552" spans="1:16" ht="12.75" customHeight="1" x14ac:dyDescent="0.25">
      <c r="B552" s="134"/>
      <c r="C552" s="108" t="s">
        <v>211</v>
      </c>
      <c r="D552" s="108"/>
      <c r="E552" s="135"/>
      <c r="F552" s="135">
        <f t="shared" si="685"/>
        <v>0</v>
      </c>
      <c r="G552" s="194">
        <f t="shared" si="685"/>
        <v>0</v>
      </c>
      <c r="H552" s="135">
        <f t="shared" si="685"/>
        <v>0</v>
      </c>
      <c r="I552" s="135">
        <f t="shared" si="685"/>
        <v>0</v>
      </c>
      <c r="J552" s="135">
        <f t="shared" si="686"/>
        <v>0</v>
      </c>
      <c r="K552" s="135">
        <f t="shared" si="687"/>
        <v>0</v>
      </c>
      <c r="L552" s="135">
        <f t="shared" si="688"/>
        <v>0</v>
      </c>
      <c r="M552" s="135">
        <f t="shared" si="689"/>
        <v>0</v>
      </c>
      <c r="N552" s="135">
        <f t="shared" si="690"/>
        <v>0</v>
      </c>
      <c r="O552" s="135">
        <f t="shared" si="691"/>
        <v>0</v>
      </c>
      <c r="P552" s="135">
        <f t="shared" si="692"/>
        <v>0</v>
      </c>
    </row>
    <row r="553" spans="1:16" ht="12.75" customHeight="1" x14ac:dyDescent="0.25">
      <c r="B553" s="134"/>
      <c r="C553" s="108" t="s">
        <v>212</v>
      </c>
      <c r="D553" s="108"/>
      <c r="E553" s="135"/>
      <c r="F553" s="135">
        <f t="shared" si="685"/>
        <v>0</v>
      </c>
      <c r="G553" s="194">
        <f t="shared" si="685"/>
        <v>0</v>
      </c>
      <c r="H553" s="135">
        <f t="shared" si="685"/>
        <v>0</v>
      </c>
      <c r="I553" s="135">
        <f t="shared" si="685"/>
        <v>0</v>
      </c>
      <c r="J553" s="135">
        <f t="shared" si="686"/>
        <v>0</v>
      </c>
      <c r="K553" s="135">
        <f t="shared" si="687"/>
        <v>0</v>
      </c>
      <c r="L553" s="135">
        <f t="shared" si="688"/>
        <v>0</v>
      </c>
      <c r="M553" s="135">
        <f t="shared" si="689"/>
        <v>0</v>
      </c>
      <c r="N553" s="135">
        <f t="shared" si="690"/>
        <v>0</v>
      </c>
      <c r="O553" s="135">
        <f t="shared" si="691"/>
        <v>0</v>
      </c>
      <c r="P553" s="135">
        <f t="shared" si="692"/>
        <v>0</v>
      </c>
    </row>
    <row r="554" spans="1:16" ht="12.75" customHeight="1" x14ac:dyDescent="0.25">
      <c r="A554" s="73"/>
      <c r="B554" s="133"/>
      <c r="C554" s="136" t="s">
        <v>213</v>
      </c>
      <c r="D554" s="136"/>
      <c r="E554" s="132"/>
      <c r="F554" s="132">
        <f t="shared" si="685"/>
        <v>0</v>
      </c>
      <c r="G554" s="195">
        <f t="shared" si="685"/>
        <v>0</v>
      </c>
      <c r="H554" s="132">
        <f t="shared" si="685"/>
        <v>0</v>
      </c>
      <c r="I554" s="132">
        <f t="shared" si="685"/>
        <v>0</v>
      </c>
      <c r="J554" s="132">
        <f t="shared" si="686"/>
        <v>0</v>
      </c>
      <c r="K554" s="132">
        <f t="shared" si="687"/>
        <v>0</v>
      </c>
      <c r="L554" s="132">
        <f t="shared" si="688"/>
        <v>0</v>
      </c>
      <c r="M554" s="132">
        <f t="shared" si="689"/>
        <v>0</v>
      </c>
      <c r="N554" s="132">
        <f t="shared" si="690"/>
        <v>0</v>
      </c>
      <c r="O554" s="132">
        <f t="shared" si="691"/>
        <v>0</v>
      </c>
      <c r="P554" s="132">
        <f t="shared" si="692"/>
        <v>0</v>
      </c>
    </row>
    <row r="555" spans="1:16" ht="12.75" customHeight="1" x14ac:dyDescent="0.25">
      <c r="B555" s="134"/>
      <c r="C555" s="108" t="s">
        <v>219</v>
      </c>
      <c r="D555" s="108"/>
      <c r="E555" s="135"/>
      <c r="F555" s="135">
        <f t="shared" ref="F555:I555" si="693">SUM(F546:F554)</f>
        <v>0</v>
      </c>
      <c r="G555" s="194">
        <f t="shared" si="693"/>
        <v>0</v>
      </c>
      <c r="H555" s="135">
        <f t="shared" si="693"/>
        <v>0</v>
      </c>
      <c r="I555" s="135">
        <f t="shared" si="693"/>
        <v>0</v>
      </c>
      <c r="J555" s="135">
        <f t="shared" ref="J555:P555" si="694">SUM(J546:J554)</f>
        <v>0</v>
      </c>
      <c r="K555" s="135">
        <f t="shared" si="694"/>
        <v>0</v>
      </c>
      <c r="L555" s="135">
        <f t="shared" si="694"/>
        <v>0</v>
      </c>
      <c r="M555" s="135">
        <f t="shared" si="694"/>
        <v>0</v>
      </c>
      <c r="N555" s="135">
        <f t="shared" si="694"/>
        <v>0</v>
      </c>
      <c r="O555" s="135">
        <f t="shared" si="694"/>
        <v>0</v>
      </c>
      <c r="P555" s="135">
        <f t="shared" si="694"/>
        <v>0</v>
      </c>
    </row>
    <row r="556" spans="1:16" ht="12.75" customHeight="1" x14ac:dyDescent="0.25">
      <c r="B556" s="134"/>
      <c r="C556" s="108"/>
      <c r="D556" s="108"/>
      <c r="E556" s="135"/>
      <c r="F556" s="135"/>
      <c r="G556" s="194"/>
      <c r="H556" s="135"/>
      <c r="I556" s="135"/>
      <c r="J556" s="135"/>
      <c r="K556" s="135"/>
      <c r="L556" s="135"/>
      <c r="M556" s="135"/>
      <c r="N556" s="135"/>
      <c r="O556" s="135"/>
      <c r="P556" s="135"/>
    </row>
    <row r="557" spans="1:16" ht="12.75" customHeight="1" x14ac:dyDescent="0.25">
      <c r="B557" s="110" t="s">
        <v>343</v>
      </c>
      <c r="C557" s="108"/>
      <c r="D557" s="108"/>
      <c r="G557" s="151"/>
    </row>
    <row r="558" spans="1:16" ht="12.75" customHeight="1" x14ac:dyDescent="0.25">
      <c r="B558" s="134"/>
      <c r="C558" s="108" t="s">
        <v>206</v>
      </c>
      <c r="D558" s="108"/>
      <c r="E558" s="135"/>
      <c r="F558" s="135">
        <f t="shared" ref="F558:I566" si="695">(F$10-E$10)*F451</f>
        <v>0</v>
      </c>
      <c r="G558" s="194">
        <f t="shared" si="695"/>
        <v>0</v>
      </c>
      <c r="H558" s="135">
        <f t="shared" si="695"/>
        <v>0</v>
      </c>
      <c r="I558" s="135">
        <f t="shared" si="695"/>
        <v>0</v>
      </c>
      <c r="J558" s="135">
        <f t="shared" ref="J558:J566" si="696">(J$10-I$10)*J451</f>
        <v>0</v>
      </c>
      <c r="K558" s="135">
        <f t="shared" ref="K558:K566" si="697">(K$10-J$10)*K451</f>
        <v>0</v>
      </c>
      <c r="L558" s="135">
        <f t="shared" ref="L558:L566" si="698">(L$10-K$10)*L451</f>
        <v>0</v>
      </c>
      <c r="M558" s="135">
        <f t="shared" ref="M558:M566" si="699">(M$10-L$10)*M451</f>
        <v>0</v>
      </c>
      <c r="N558" s="135">
        <f t="shared" ref="N558:N566" si="700">(N$10-M$10)*N451</f>
        <v>0</v>
      </c>
      <c r="O558" s="135">
        <f t="shared" ref="O558:O566" si="701">(O$10-N$10)*O451</f>
        <v>0</v>
      </c>
      <c r="P558" s="135">
        <f t="shared" ref="P558:P566" si="702">(P$10-O$10)*P451</f>
        <v>0</v>
      </c>
    </row>
    <row r="559" spans="1:16" ht="12.75" customHeight="1" x14ac:dyDescent="0.25">
      <c r="B559" s="134"/>
      <c r="C559" s="108" t="s">
        <v>214</v>
      </c>
      <c r="D559" s="108"/>
      <c r="E559" s="135"/>
      <c r="F559" s="135">
        <f t="shared" si="695"/>
        <v>0</v>
      </c>
      <c r="G559" s="194">
        <f t="shared" si="695"/>
        <v>0</v>
      </c>
      <c r="H559" s="135">
        <f t="shared" si="695"/>
        <v>0</v>
      </c>
      <c r="I559" s="135">
        <f t="shared" si="695"/>
        <v>0</v>
      </c>
      <c r="J559" s="135">
        <f t="shared" si="696"/>
        <v>0</v>
      </c>
      <c r="K559" s="135">
        <f t="shared" si="697"/>
        <v>0</v>
      </c>
      <c r="L559" s="135">
        <f t="shared" si="698"/>
        <v>0</v>
      </c>
      <c r="M559" s="135">
        <f t="shared" si="699"/>
        <v>0</v>
      </c>
      <c r="N559" s="135">
        <f t="shared" si="700"/>
        <v>0</v>
      </c>
      <c r="O559" s="135">
        <f t="shared" si="701"/>
        <v>0</v>
      </c>
      <c r="P559" s="135">
        <f t="shared" si="702"/>
        <v>0</v>
      </c>
    </row>
    <row r="560" spans="1:16" ht="12.75" customHeight="1" x14ac:dyDescent="0.25">
      <c r="B560" s="134"/>
      <c r="C560" s="108" t="s">
        <v>207</v>
      </c>
      <c r="D560" s="108"/>
      <c r="E560" s="135"/>
      <c r="F560" s="135">
        <f t="shared" si="695"/>
        <v>0</v>
      </c>
      <c r="G560" s="194">
        <f t="shared" si="695"/>
        <v>0</v>
      </c>
      <c r="H560" s="135">
        <f t="shared" si="695"/>
        <v>0</v>
      </c>
      <c r="I560" s="135">
        <f t="shared" si="695"/>
        <v>0</v>
      </c>
      <c r="J560" s="135">
        <f t="shared" si="696"/>
        <v>0</v>
      </c>
      <c r="K560" s="135">
        <f t="shared" si="697"/>
        <v>0</v>
      </c>
      <c r="L560" s="135">
        <f t="shared" si="698"/>
        <v>0</v>
      </c>
      <c r="M560" s="135">
        <f t="shared" si="699"/>
        <v>0</v>
      </c>
      <c r="N560" s="135">
        <f t="shared" si="700"/>
        <v>0</v>
      </c>
      <c r="O560" s="135">
        <f t="shared" si="701"/>
        <v>0</v>
      </c>
      <c r="P560" s="135">
        <f t="shared" si="702"/>
        <v>0</v>
      </c>
    </row>
    <row r="561" spans="1:16" ht="12.75" customHeight="1" x14ac:dyDescent="0.25">
      <c r="B561" s="134"/>
      <c r="C561" s="108" t="s">
        <v>208</v>
      </c>
      <c r="D561" s="108"/>
      <c r="E561" s="135"/>
      <c r="F561" s="135">
        <f t="shared" si="695"/>
        <v>0</v>
      </c>
      <c r="G561" s="194">
        <f t="shared" si="695"/>
        <v>0</v>
      </c>
      <c r="H561" s="135">
        <f t="shared" si="695"/>
        <v>0</v>
      </c>
      <c r="I561" s="135">
        <f t="shared" si="695"/>
        <v>0</v>
      </c>
      <c r="J561" s="135">
        <f t="shared" si="696"/>
        <v>0</v>
      </c>
      <c r="K561" s="135">
        <f t="shared" si="697"/>
        <v>0</v>
      </c>
      <c r="L561" s="135">
        <f t="shared" si="698"/>
        <v>0</v>
      </c>
      <c r="M561" s="135">
        <f t="shared" si="699"/>
        <v>0</v>
      </c>
      <c r="N561" s="135">
        <f t="shared" si="700"/>
        <v>0</v>
      </c>
      <c r="O561" s="135">
        <f t="shared" si="701"/>
        <v>0</v>
      </c>
      <c r="P561" s="135">
        <f t="shared" si="702"/>
        <v>0</v>
      </c>
    </row>
    <row r="562" spans="1:16" ht="12.75" customHeight="1" x14ac:dyDescent="0.25">
      <c r="B562" s="134"/>
      <c r="C562" s="108" t="s">
        <v>209</v>
      </c>
      <c r="D562" s="108"/>
      <c r="E562" s="135"/>
      <c r="F562" s="135">
        <f t="shared" si="695"/>
        <v>0</v>
      </c>
      <c r="G562" s="194">
        <f t="shared" si="695"/>
        <v>0</v>
      </c>
      <c r="H562" s="135">
        <f t="shared" si="695"/>
        <v>0</v>
      </c>
      <c r="I562" s="135">
        <f t="shared" si="695"/>
        <v>0</v>
      </c>
      <c r="J562" s="135">
        <f t="shared" si="696"/>
        <v>0</v>
      </c>
      <c r="K562" s="135">
        <f t="shared" si="697"/>
        <v>0</v>
      </c>
      <c r="L562" s="135">
        <f t="shared" si="698"/>
        <v>0</v>
      </c>
      <c r="M562" s="135">
        <f t="shared" si="699"/>
        <v>0</v>
      </c>
      <c r="N562" s="135">
        <f t="shared" si="700"/>
        <v>0</v>
      </c>
      <c r="O562" s="135">
        <f t="shared" si="701"/>
        <v>0</v>
      </c>
      <c r="P562" s="135">
        <f t="shared" si="702"/>
        <v>0</v>
      </c>
    </row>
    <row r="563" spans="1:16" ht="12.75" customHeight="1" x14ac:dyDescent="0.25">
      <c r="B563" s="134"/>
      <c r="C563" s="108" t="s">
        <v>210</v>
      </c>
      <c r="D563" s="108"/>
      <c r="E563" s="135"/>
      <c r="F563" s="135">
        <f t="shared" si="695"/>
        <v>0</v>
      </c>
      <c r="G563" s="194">
        <f t="shared" si="695"/>
        <v>0</v>
      </c>
      <c r="H563" s="135">
        <f t="shared" si="695"/>
        <v>0</v>
      </c>
      <c r="I563" s="135">
        <f t="shared" si="695"/>
        <v>0</v>
      </c>
      <c r="J563" s="135">
        <f t="shared" si="696"/>
        <v>0</v>
      </c>
      <c r="K563" s="135">
        <f t="shared" si="697"/>
        <v>0</v>
      </c>
      <c r="L563" s="135">
        <f t="shared" si="698"/>
        <v>0</v>
      </c>
      <c r="M563" s="135">
        <f t="shared" si="699"/>
        <v>0</v>
      </c>
      <c r="N563" s="135">
        <f t="shared" si="700"/>
        <v>0</v>
      </c>
      <c r="O563" s="135">
        <f t="shared" si="701"/>
        <v>0</v>
      </c>
      <c r="P563" s="135">
        <f t="shared" si="702"/>
        <v>0</v>
      </c>
    </row>
    <row r="564" spans="1:16" ht="12.75" customHeight="1" x14ac:dyDescent="0.25">
      <c r="B564" s="134"/>
      <c r="C564" s="108" t="s">
        <v>211</v>
      </c>
      <c r="D564" s="108"/>
      <c r="E564" s="135"/>
      <c r="F564" s="135">
        <f t="shared" si="695"/>
        <v>0</v>
      </c>
      <c r="G564" s="194">
        <f t="shared" si="695"/>
        <v>0</v>
      </c>
      <c r="H564" s="135">
        <f t="shared" si="695"/>
        <v>0</v>
      </c>
      <c r="I564" s="135">
        <f t="shared" si="695"/>
        <v>0</v>
      </c>
      <c r="J564" s="135">
        <f t="shared" si="696"/>
        <v>0</v>
      </c>
      <c r="K564" s="135">
        <f t="shared" si="697"/>
        <v>0</v>
      </c>
      <c r="L564" s="135">
        <f t="shared" si="698"/>
        <v>0</v>
      </c>
      <c r="M564" s="135">
        <f t="shared" si="699"/>
        <v>0</v>
      </c>
      <c r="N564" s="135">
        <f t="shared" si="700"/>
        <v>0</v>
      </c>
      <c r="O564" s="135">
        <f t="shared" si="701"/>
        <v>0</v>
      </c>
      <c r="P564" s="135">
        <f t="shared" si="702"/>
        <v>0</v>
      </c>
    </row>
    <row r="565" spans="1:16" ht="12.75" customHeight="1" x14ac:dyDescent="0.25">
      <c r="B565" s="134"/>
      <c r="C565" s="108" t="s">
        <v>212</v>
      </c>
      <c r="D565" s="108"/>
      <c r="E565" s="135"/>
      <c r="F565" s="135">
        <f t="shared" si="695"/>
        <v>0</v>
      </c>
      <c r="G565" s="194">
        <f t="shared" si="695"/>
        <v>0</v>
      </c>
      <c r="H565" s="135">
        <f t="shared" si="695"/>
        <v>0</v>
      </c>
      <c r="I565" s="135">
        <f t="shared" si="695"/>
        <v>0</v>
      </c>
      <c r="J565" s="135">
        <f t="shared" si="696"/>
        <v>0</v>
      </c>
      <c r="K565" s="135">
        <f t="shared" si="697"/>
        <v>0</v>
      </c>
      <c r="L565" s="135">
        <f t="shared" si="698"/>
        <v>0</v>
      </c>
      <c r="M565" s="135">
        <f t="shared" si="699"/>
        <v>0</v>
      </c>
      <c r="N565" s="135">
        <f t="shared" si="700"/>
        <v>0</v>
      </c>
      <c r="O565" s="135">
        <f t="shared" si="701"/>
        <v>0</v>
      </c>
      <c r="P565" s="135">
        <f t="shared" si="702"/>
        <v>0</v>
      </c>
    </row>
    <row r="566" spans="1:16" ht="12.75" customHeight="1" x14ac:dyDescent="0.25">
      <c r="A566" s="73"/>
      <c r="B566" s="133"/>
      <c r="C566" s="136" t="s">
        <v>213</v>
      </c>
      <c r="D566" s="136"/>
      <c r="E566" s="132"/>
      <c r="F566" s="132">
        <f t="shared" si="695"/>
        <v>0</v>
      </c>
      <c r="G566" s="195">
        <f t="shared" si="695"/>
        <v>0</v>
      </c>
      <c r="H566" s="132">
        <f t="shared" si="695"/>
        <v>0</v>
      </c>
      <c r="I566" s="132">
        <f t="shared" si="695"/>
        <v>0</v>
      </c>
      <c r="J566" s="132">
        <f t="shared" si="696"/>
        <v>0</v>
      </c>
      <c r="K566" s="132">
        <f t="shared" si="697"/>
        <v>0</v>
      </c>
      <c r="L566" s="132">
        <f t="shared" si="698"/>
        <v>0</v>
      </c>
      <c r="M566" s="132">
        <f t="shared" si="699"/>
        <v>0</v>
      </c>
      <c r="N566" s="132">
        <f t="shared" si="700"/>
        <v>0</v>
      </c>
      <c r="O566" s="132">
        <f t="shared" si="701"/>
        <v>0</v>
      </c>
      <c r="P566" s="132">
        <f t="shared" si="702"/>
        <v>0</v>
      </c>
    </row>
    <row r="567" spans="1:16" ht="12.75" customHeight="1" x14ac:dyDescent="0.25">
      <c r="B567" s="134"/>
      <c r="C567" s="108" t="s">
        <v>219</v>
      </c>
      <c r="D567" s="108"/>
      <c r="E567" s="135"/>
      <c r="F567" s="135">
        <f t="shared" ref="F567:I567" si="703">SUM(F558:F566)</f>
        <v>0</v>
      </c>
      <c r="G567" s="194">
        <f t="shared" si="703"/>
        <v>0</v>
      </c>
      <c r="H567" s="135">
        <f t="shared" si="703"/>
        <v>0</v>
      </c>
      <c r="I567" s="135">
        <f t="shared" si="703"/>
        <v>0</v>
      </c>
      <c r="J567" s="135">
        <f t="shared" ref="J567:P567" si="704">SUM(J558:J566)</f>
        <v>0</v>
      </c>
      <c r="K567" s="135">
        <f t="shared" si="704"/>
        <v>0</v>
      </c>
      <c r="L567" s="135">
        <f t="shared" si="704"/>
        <v>0</v>
      </c>
      <c r="M567" s="135">
        <f t="shared" si="704"/>
        <v>0</v>
      </c>
      <c r="N567" s="135">
        <f t="shared" si="704"/>
        <v>0</v>
      </c>
      <c r="O567" s="135">
        <f t="shared" si="704"/>
        <v>0</v>
      </c>
      <c r="P567" s="135">
        <f t="shared" si="704"/>
        <v>0</v>
      </c>
    </row>
    <row r="568" spans="1:16" ht="12.75" customHeight="1" x14ac:dyDescent="0.25">
      <c r="B568" s="134"/>
      <c r="C568" s="108"/>
      <c r="D568" s="108"/>
      <c r="E568" s="135"/>
      <c r="F568" s="135"/>
      <c r="G568" s="194"/>
      <c r="H568" s="135"/>
      <c r="I568" s="135"/>
      <c r="J568" s="135"/>
      <c r="K568" s="135"/>
      <c r="L568" s="135"/>
      <c r="M568" s="135"/>
      <c r="N568" s="135"/>
      <c r="O568" s="135"/>
      <c r="P568" s="135"/>
    </row>
    <row r="569" spans="1:16" ht="12.75" customHeight="1" x14ac:dyDescent="0.25">
      <c r="B569" s="110" t="s">
        <v>297</v>
      </c>
      <c r="C569" s="108"/>
      <c r="D569" s="108"/>
      <c r="G569" s="151"/>
    </row>
    <row r="570" spans="1:16" ht="12.75" customHeight="1" x14ac:dyDescent="0.25">
      <c r="B570" s="134"/>
      <c r="C570" s="108" t="s">
        <v>206</v>
      </c>
      <c r="D570" s="108"/>
      <c r="E570" s="135"/>
      <c r="F570" s="135">
        <f t="shared" ref="F570:I578" si="705">(F$11-E$11)*F463</f>
        <v>0</v>
      </c>
      <c r="G570" s="194">
        <f t="shared" si="705"/>
        <v>0</v>
      </c>
      <c r="H570" s="135">
        <f t="shared" ref="H570:I571" si="706">(H$11-G$11)*H463</f>
        <v>0</v>
      </c>
      <c r="I570" s="135">
        <f t="shared" si="706"/>
        <v>0</v>
      </c>
      <c r="J570" s="135">
        <f t="shared" ref="J570:J578" si="707">(J$11-I$11)*J463</f>
        <v>0</v>
      </c>
      <c r="K570" s="135">
        <f t="shared" ref="K570:K578" si="708">(K$11-J$11)*K463</f>
        <v>0</v>
      </c>
      <c r="L570" s="135">
        <f t="shared" ref="L570:L578" si="709">(L$11-K$11)*L463</f>
        <v>0</v>
      </c>
      <c r="M570" s="135">
        <f t="shared" ref="M570:M578" si="710">(M$11-L$11)*M463</f>
        <v>0</v>
      </c>
      <c r="N570" s="135">
        <f t="shared" ref="N570:N578" si="711">(N$11-M$11)*N463</f>
        <v>0</v>
      </c>
      <c r="O570" s="135">
        <f t="shared" ref="O570:O578" si="712">(O$11-N$11)*O463</f>
        <v>0</v>
      </c>
      <c r="P570" s="135">
        <f t="shared" ref="P570:P578" si="713">(P$11-O$11)*P463</f>
        <v>0</v>
      </c>
    </row>
    <row r="571" spans="1:16" ht="12.75" customHeight="1" x14ac:dyDescent="0.25">
      <c r="B571" s="134"/>
      <c r="C571" s="108" t="s">
        <v>214</v>
      </c>
      <c r="D571" s="108"/>
      <c r="E571" s="135"/>
      <c r="F571" s="135">
        <f t="shared" si="705"/>
        <v>0</v>
      </c>
      <c r="G571" s="194">
        <f t="shared" si="705"/>
        <v>0</v>
      </c>
      <c r="H571" s="135">
        <f t="shared" si="706"/>
        <v>0</v>
      </c>
      <c r="I571" s="135">
        <f t="shared" si="706"/>
        <v>0</v>
      </c>
      <c r="J571" s="135">
        <f t="shared" si="707"/>
        <v>0</v>
      </c>
      <c r="K571" s="135">
        <f t="shared" si="708"/>
        <v>0</v>
      </c>
      <c r="L571" s="135">
        <f t="shared" si="709"/>
        <v>0</v>
      </c>
      <c r="M571" s="135">
        <f t="shared" si="710"/>
        <v>0</v>
      </c>
      <c r="N571" s="135">
        <f t="shared" si="711"/>
        <v>0</v>
      </c>
      <c r="O571" s="135">
        <f t="shared" si="712"/>
        <v>0</v>
      </c>
      <c r="P571" s="135">
        <f t="shared" si="713"/>
        <v>0</v>
      </c>
    </row>
    <row r="572" spans="1:16" ht="12.75" customHeight="1" x14ac:dyDescent="0.25">
      <c r="B572" s="134"/>
      <c r="C572" s="108" t="s">
        <v>207</v>
      </c>
      <c r="D572" s="108"/>
      <c r="E572" s="135"/>
      <c r="F572" s="135">
        <f t="shared" si="705"/>
        <v>0</v>
      </c>
      <c r="G572" s="194">
        <f t="shared" si="705"/>
        <v>0</v>
      </c>
      <c r="H572" s="135">
        <f t="shared" si="705"/>
        <v>0</v>
      </c>
      <c r="I572" s="135">
        <f t="shared" si="705"/>
        <v>0</v>
      </c>
      <c r="J572" s="135">
        <f t="shared" si="707"/>
        <v>0</v>
      </c>
      <c r="K572" s="135">
        <f t="shared" si="708"/>
        <v>0</v>
      </c>
      <c r="L572" s="135">
        <f t="shared" si="709"/>
        <v>0</v>
      </c>
      <c r="M572" s="135">
        <f t="shared" si="710"/>
        <v>0</v>
      </c>
      <c r="N572" s="135">
        <f t="shared" si="711"/>
        <v>0</v>
      </c>
      <c r="O572" s="135">
        <f t="shared" si="712"/>
        <v>0</v>
      </c>
      <c r="P572" s="135">
        <f t="shared" si="713"/>
        <v>0</v>
      </c>
    </row>
    <row r="573" spans="1:16" ht="12.75" customHeight="1" x14ac:dyDescent="0.25">
      <c r="B573" s="134"/>
      <c r="C573" s="108" t="s">
        <v>208</v>
      </c>
      <c r="D573" s="108"/>
      <c r="E573" s="135"/>
      <c r="F573" s="135">
        <f t="shared" si="705"/>
        <v>0</v>
      </c>
      <c r="G573" s="194">
        <f t="shared" si="705"/>
        <v>0</v>
      </c>
      <c r="H573" s="135">
        <f t="shared" si="705"/>
        <v>0</v>
      </c>
      <c r="I573" s="135">
        <f t="shared" si="705"/>
        <v>0</v>
      </c>
      <c r="J573" s="135">
        <f t="shared" si="707"/>
        <v>0</v>
      </c>
      <c r="K573" s="135">
        <f t="shared" si="708"/>
        <v>0</v>
      </c>
      <c r="L573" s="135">
        <f t="shared" si="709"/>
        <v>0</v>
      </c>
      <c r="M573" s="135">
        <f t="shared" si="710"/>
        <v>0</v>
      </c>
      <c r="N573" s="135">
        <f t="shared" si="711"/>
        <v>0</v>
      </c>
      <c r="O573" s="135">
        <f t="shared" si="712"/>
        <v>0</v>
      </c>
      <c r="P573" s="135">
        <f t="shared" si="713"/>
        <v>0</v>
      </c>
    </row>
    <row r="574" spans="1:16" ht="12.75" customHeight="1" x14ac:dyDescent="0.25">
      <c r="B574" s="134"/>
      <c r="C574" s="108" t="s">
        <v>209</v>
      </c>
      <c r="D574" s="108"/>
      <c r="E574" s="135"/>
      <c r="F574" s="135">
        <f t="shared" si="705"/>
        <v>0</v>
      </c>
      <c r="G574" s="194">
        <f t="shared" si="705"/>
        <v>0</v>
      </c>
      <c r="H574" s="135">
        <f t="shared" si="705"/>
        <v>0</v>
      </c>
      <c r="I574" s="135">
        <f t="shared" si="705"/>
        <v>0</v>
      </c>
      <c r="J574" s="135">
        <f t="shared" si="707"/>
        <v>0</v>
      </c>
      <c r="K574" s="135">
        <f t="shared" si="708"/>
        <v>0</v>
      </c>
      <c r="L574" s="135">
        <f t="shared" si="709"/>
        <v>0</v>
      </c>
      <c r="M574" s="135">
        <f t="shared" si="710"/>
        <v>0</v>
      </c>
      <c r="N574" s="135">
        <f t="shared" si="711"/>
        <v>0</v>
      </c>
      <c r="O574" s="135">
        <f t="shared" si="712"/>
        <v>0</v>
      </c>
      <c r="P574" s="135">
        <f t="shared" si="713"/>
        <v>0</v>
      </c>
    </row>
    <row r="575" spans="1:16" ht="12.75" customHeight="1" x14ac:dyDescent="0.25">
      <c r="B575" s="134"/>
      <c r="C575" s="108" t="s">
        <v>210</v>
      </c>
      <c r="D575" s="108"/>
      <c r="E575" s="135"/>
      <c r="F575" s="135">
        <f t="shared" si="705"/>
        <v>0</v>
      </c>
      <c r="G575" s="194">
        <f t="shared" si="705"/>
        <v>0</v>
      </c>
      <c r="H575" s="135">
        <f t="shared" si="705"/>
        <v>0</v>
      </c>
      <c r="I575" s="135">
        <f t="shared" si="705"/>
        <v>0</v>
      </c>
      <c r="J575" s="135">
        <f t="shared" si="707"/>
        <v>0</v>
      </c>
      <c r="K575" s="135">
        <f t="shared" si="708"/>
        <v>0</v>
      </c>
      <c r="L575" s="135">
        <f t="shared" si="709"/>
        <v>0</v>
      </c>
      <c r="M575" s="135">
        <f t="shared" si="710"/>
        <v>0</v>
      </c>
      <c r="N575" s="135">
        <f t="shared" si="711"/>
        <v>0</v>
      </c>
      <c r="O575" s="135">
        <f t="shared" si="712"/>
        <v>0</v>
      </c>
      <c r="P575" s="135">
        <f t="shared" si="713"/>
        <v>0</v>
      </c>
    </row>
    <row r="576" spans="1:16" ht="12.75" customHeight="1" x14ac:dyDescent="0.25">
      <c r="B576" s="134"/>
      <c r="C576" s="108" t="s">
        <v>211</v>
      </c>
      <c r="D576" s="108"/>
      <c r="E576" s="135"/>
      <c r="F576" s="135">
        <f t="shared" si="705"/>
        <v>0</v>
      </c>
      <c r="G576" s="194">
        <f t="shared" si="705"/>
        <v>0</v>
      </c>
      <c r="H576" s="135">
        <f t="shared" si="705"/>
        <v>0</v>
      </c>
      <c r="I576" s="135">
        <f t="shared" si="705"/>
        <v>0</v>
      </c>
      <c r="J576" s="135">
        <f t="shared" si="707"/>
        <v>0</v>
      </c>
      <c r="K576" s="135">
        <f t="shared" si="708"/>
        <v>0</v>
      </c>
      <c r="L576" s="135">
        <f t="shared" si="709"/>
        <v>0</v>
      </c>
      <c r="M576" s="135">
        <f t="shared" si="710"/>
        <v>0</v>
      </c>
      <c r="N576" s="135">
        <f t="shared" si="711"/>
        <v>0</v>
      </c>
      <c r="O576" s="135">
        <f t="shared" si="712"/>
        <v>0</v>
      </c>
      <c r="P576" s="135">
        <f t="shared" si="713"/>
        <v>0</v>
      </c>
    </row>
    <row r="577" spans="1:16" ht="12.75" customHeight="1" x14ac:dyDescent="0.25">
      <c r="B577" s="134"/>
      <c r="C577" s="108" t="s">
        <v>212</v>
      </c>
      <c r="D577" s="108"/>
      <c r="E577" s="135"/>
      <c r="F577" s="135">
        <f t="shared" si="705"/>
        <v>0</v>
      </c>
      <c r="G577" s="194">
        <f t="shared" si="705"/>
        <v>0</v>
      </c>
      <c r="H577" s="135">
        <f t="shared" si="705"/>
        <v>0</v>
      </c>
      <c r="I577" s="135">
        <f t="shared" si="705"/>
        <v>0</v>
      </c>
      <c r="J577" s="135">
        <f t="shared" si="707"/>
        <v>0</v>
      </c>
      <c r="K577" s="135">
        <f t="shared" si="708"/>
        <v>0</v>
      </c>
      <c r="L577" s="135">
        <f t="shared" si="709"/>
        <v>0</v>
      </c>
      <c r="M577" s="135">
        <f t="shared" si="710"/>
        <v>0</v>
      </c>
      <c r="N577" s="135">
        <f t="shared" si="711"/>
        <v>0</v>
      </c>
      <c r="O577" s="135">
        <f t="shared" si="712"/>
        <v>0</v>
      </c>
      <c r="P577" s="135">
        <f t="shared" si="713"/>
        <v>0</v>
      </c>
    </row>
    <row r="578" spans="1:16" ht="12.75" customHeight="1" x14ac:dyDescent="0.25">
      <c r="A578" s="73"/>
      <c r="B578" s="133"/>
      <c r="C578" s="136" t="s">
        <v>213</v>
      </c>
      <c r="D578" s="136"/>
      <c r="E578" s="132"/>
      <c r="F578" s="132">
        <f t="shared" si="705"/>
        <v>0</v>
      </c>
      <c r="G578" s="195">
        <f t="shared" si="705"/>
        <v>0</v>
      </c>
      <c r="H578" s="132">
        <f t="shared" si="705"/>
        <v>0</v>
      </c>
      <c r="I578" s="132">
        <f t="shared" si="705"/>
        <v>0</v>
      </c>
      <c r="J578" s="132">
        <f t="shared" si="707"/>
        <v>0</v>
      </c>
      <c r="K578" s="132">
        <f t="shared" si="708"/>
        <v>0</v>
      </c>
      <c r="L578" s="132">
        <f t="shared" si="709"/>
        <v>0</v>
      </c>
      <c r="M578" s="132">
        <f t="shared" si="710"/>
        <v>0</v>
      </c>
      <c r="N578" s="132">
        <f t="shared" si="711"/>
        <v>0</v>
      </c>
      <c r="O578" s="132">
        <f t="shared" si="712"/>
        <v>0</v>
      </c>
      <c r="P578" s="132">
        <f t="shared" si="713"/>
        <v>0</v>
      </c>
    </row>
    <row r="579" spans="1:16" ht="12.75" customHeight="1" x14ac:dyDescent="0.25">
      <c r="B579" s="134"/>
      <c r="C579" s="108" t="s">
        <v>219</v>
      </c>
      <c r="D579" s="108"/>
      <c r="E579" s="135"/>
      <c r="F579" s="135">
        <f t="shared" ref="F579:I579" si="714">SUM(F570:F578)</f>
        <v>0</v>
      </c>
      <c r="G579" s="194">
        <f t="shared" si="714"/>
        <v>0</v>
      </c>
      <c r="H579" s="135">
        <f t="shared" si="714"/>
        <v>0</v>
      </c>
      <c r="I579" s="135">
        <f t="shared" si="714"/>
        <v>0</v>
      </c>
      <c r="J579" s="135">
        <f t="shared" ref="J579:P579" si="715">SUM(J570:J578)</f>
        <v>0</v>
      </c>
      <c r="K579" s="135">
        <f t="shared" si="715"/>
        <v>0</v>
      </c>
      <c r="L579" s="135">
        <f t="shared" si="715"/>
        <v>0</v>
      </c>
      <c r="M579" s="135">
        <f t="shared" si="715"/>
        <v>0</v>
      </c>
      <c r="N579" s="135">
        <f t="shared" si="715"/>
        <v>0</v>
      </c>
      <c r="O579" s="135">
        <f t="shared" si="715"/>
        <v>0</v>
      </c>
      <c r="P579" s="135">
        <f t="shared" si="715"/>
        <v>0</v>
      </c>
    </row>
    <row r="580" spans="1:16" ht="12.75" customHeight="1" x14ac:dyDescent="0.25">
      <c r="B580" s="134"/>
      <c r="C580" s="108"/>
      <c r="D580" s="108"/>
      <c r="E580" s="135"/>
      <c r="F580" s="135"/>
      <c r="G580" s="194"/>
      <c r="H580" s="135"/>
      <c r="I580" s="135"/>
      <c r="J580" s="135"/>
      <c r="K580" s="135"/>
      <c r="L580" s="135"/>
      <c r="M580" s="135"/>
      <c r="N580" s="135"/>
      <c r="O580" s="135"/>
      <c r="P580" s="135"/>
    </row>
    <row r="581" spans="1:16" ht="12.75" customHeight="1" x14ac:dyDescent="0.25">
      <c r="B581" s="29" t="s">
        <v>297</v>
      </c>
      <c r="C581" s="108"/>
      <c r="D581" s="108"/>
      <c r="E581" s="25"/>
      <c r="F581" s="25"/>
      <c r="G581" s="182"/>
      <c r="H581" s="25"/>
      <c r="I581" s="25"/>
      <c r="J581" s="25"/>
      <c r="K581" s="25"/>
      <c r="L581" s="25"/>
      <c r="M581" s="25"/>
      <c r="N581" s="25"/>
      <c r="O581" s="25"/>
      <c r="P581" s="25"/>
    </row>
    <row r="582" spans="1:16" ht="12.75" customHeight="1" x14ac:dyDescent="0.25">
      <c r="B582" s="134"/>
      <c r="C582" s="108" t="s">
        <v>206</v>
      </c>
      <c r="D582" s="108"/>
      <c r="E582" s="135"/>
      <c r="F582" s="135">
        <f t="shared" ref="F582:I590" si="716">(F$12-E$12)*F475</f>
        <v>0</v>
      </c>
      <c r="G582" s="194">
        <f t="shared" si="716"/>
        <v>0</v>
      </c>
      <c r="H582" s="135">
        <f t="shared" ref="H582:I583" si="717">(H$12-G$12)*H475</f>
        <v>0</v>
      </c>
      <c r="I582" s="135">
        <f t="shared" si="717"/>
        <v>0</v>
      </c>
      <c r="J582" s="135">
        <f t="shared" ref="J582:J590" si="718">(J$12-I$12)*J475</f>
        <v>0</v>
      </c>
      <c r="K582" s="135">
        <f t="shared" ref="K582:K590" si="719">(K$12-J$12)*K475</f>
        <v>0</v>
      </c>
      <c r="L582" s="135">
        <f t="shared" ref="L582:L590" si="720">(L$12-K$12)*L475</f>
        <v>0</v>
      </c>
      <c r="M582" s="135">
        <f t="shared" ref="M582:M590" si="721">(M$12-L$12)*M475</f>
        <v>0</v>
      </c>
      <c r="N582" s="135">
        <f t="shared" ref="N582:N590" si="722">(N$12-M$12)*N475</f>
        <v>0</v>
      </c>
      <c r="O582" s="135">
        <f t="shared" ref="O582:O590" si="723">(O$12-N$12)*O475</f>
        <v>0</v>
      </c>
      <c r="P582" s="135">
        <f t="shared" ref="P582:P590" si="724">(P$12-O$12)*P475</f>
        <v>0</v>
      </c>
    </row>
    <row r="583" spans="1:16" ht="12.75" customHeight="1" x14ac:dyDescent="0.25">
      <c r="B583" s="134"/>
      <c r="C583" s="108" t="s">
        <v>214</v>
      </c>
      <c r="D583" s="108"/>
      <c r="E583" s="135"/>
      <c r="F583" s="135">
        <f t="shared" si="716"/>
        <v>0</v>
      </c>
      <c r="G583" s="194">
        <f t="shared" si="716"/>
        <v>0</v>
      </c>
      <c r="H583" s="135">
        <f t="shared" si="717"/>
        <v>0</v>
      </c>
      <c r="I583" s="135">
        <f t="shared" si="717"/>
        <v>0</v>
      </c>
      <c r="J583" s="135">
        <f t="shared" si="718"/>
        <v>0</v>
      </c>
      <c r="K583" s="135">
        <f t="shared" si="719"/>
        <v>0</v>
      </c>
      <c r="L583" s="135">
        <f t="shared" si="720"/>
        <v>0</v>
      </c>
      <c r="M583" s="135">
        <f t="shared" si="721"/>
        <v>0</v>
      </c>
      <c r="N583" s="135">
        <f t="shared" si="722"/>
        <v>0</v>
      </c>
      <c r="O583" s="135">
        <f t="shared" si="723"/>
        <v>0</v>
      </c>
      <c r="P583" s="135">
        <f t="shared" si="724"/>
        <v>0</v>
      </c>
    </row>
    <row r="584" spans="1:16" ht="12.75" customHeight="1" x14ac:dyDescent="0.25">
      <c r="B584" s="134"/>
      <c r="C584" s="108" t="s">
        <v>207</v>
      </c>
      <c r="D584" s="108"/>
      <c r="E584" s="135"/>
      <c r="F584" s="135">
        <f t="shared" si="716"/>
        <v>0</v>
      </c>
      <c r="G584" s="194">
        <f t="shared" si="716"/>
        <v>0</v>
      </c>
      <c r="H584" s="135">
        <f t="shared" si="716"/>
        <v>0</v>
      </c>
      <c r="I584" s="135">
        <f t="shared" si="716"/>
        <v>0</v>
      </c>
      <c r="J584" s="135">
        <f t="shared" si="718"/>
        <v>0</v>
      </c>
      <c r="K584" s="135">
        <f t="shared" si="719"/>
        <v>0</v>
      </c>
      <c r="L584" s="135">
        <f t="shared" si="720"/>
        <v>0</v>
      </c>
      <c r="M584" s="135">
        <f t="shared" si="721"/>
        <v>0</v>
      </c>
      <c r="N584" s="135">
        <f t="shared" si="722"/>
        <v>0</v>
      </c>
      <c r="O584" s="135">
        <f t="shared" si="723"/>
        <v>0</v>
      </c>
      <c r="P584" s="135">
        <f t="shared" si="724"/>
        <v>0</v>
      </c>
    </row>
    <row r="585" spans="1:16" ht="12.75" customHeight="1" x14ac:dyDescent="0.25">
      <c r="B585" s="134"/>
      <c r="C585" s="108" t="s">
        <v>208</v>
      </c>
      <c r="D585" s="108"/>
      <c r="E585" s="135"/>
      <c r="F585" s="135">
        <f t="shared" si="716"/>
        <v>0</v>
      </c>
      <c r="G585" s="194">
        <f t="shared" si="716"/>
        <v>0</v>
      </c>
      <c r="H585" s="135">
        <f t="shared" si="716"/>
        <v>0</v>
      </c>
      <c r="I585" s="135">
        <f t="shared" si="716"/>
        <v>0</v>
      </c>
      <c r="J585" s="135">
        <f t="shared" si="718"/>
        <v>0</v>
      </c>
      <c r="K585" s="135">
        <f t="shared" si="719"/>
        <v>0</v>
      </c>
      <c r="L585" s="135">
        <f t="shared" si="720"/>
        <v>0</v>
      </c>
      <c r="M585" s="135">
        <f t="shared" si="721"/>
        <v>0</v>
      </c>
      <c r="N585" s="135">
        <f t="shared" si="722"/>
        <v>0</v>
      </c>
      <c r="O585" s="135">
        <f t="shared" si="723"/>
        <v>0</v>
      </c>
      <c r="P585" s="135">
        <f t="shared" si="724"/>
        <v>0</v>
      </c>
    </row>
    <row r="586" spans="1:16" ht="12.75" customHeight="1" x14ac:dyDescent="0.25">
      <c r="B586" s="134"/>
      <c r="C586" s="108" t="s">
        <v>209</v>
      </c>
      <c r="D586" s="108"/>
      <c r="E586" s="135"/>
      <c r="F586" s="135">
        <f t="shared" si="716"/>
        <v>0</v>
      </c>
      <c r="G586" s="194">
        <f t="shared" si="716"/>
        <v>0</v>
      </c>
      <c r="H586" s="135">
        <f t="shared" si="716"/>
        <v>0</v>
      </c>
      <c r="I586" s="135">
        <f t="shared" si="716"/>
        <v>0</v>
      </c>
      <c r="J586" s="135">
        <f t="shared" si="718"/>
        <v>0</v>
      </c>
      <c r="K586" s="135">
        <f t="shared" si="719"/>
        <v>0</v>
      </c>
      <c r="L586" s="135">
        <f t="shared" si="720"/>
        <v>0</v>
      </c>
      <c r="M586" s="135">
        <f t="shared" si="721"/>
        <v>0</v>
      </c>
      <c r="N586" s="135">
        <f t="shared" si="722"/>
        <v>0</v>
      </c>
      <c r="O586" s="135">
        <f t="shared" si="723"/>
        <v>0</v>
      </c>
      <c r="P586" s="135">
        <f t="shared" si="724"/>
        <v>0</v>
      </c>
    </row>
    <row r="587" spans="1:16" ht="12.75" customHeight="1" x14ac:dyDescent="0.25">
      <c r="B587" s="134"/>
      <c r="C587" s="108" t="s">
        <v>210</v>
      </c>
      <c r="D587" s="108"/>
      <c r="E587" s="135"/>
      <c r="F587" s="135">
        <f t="shared" si="716"/>
        <v>0</v>
      </c>
      <c r="G587" s="194">
        <f t="shared" si="716"/>
        <v>0</v>
      </c>
      <c r="H587" s="135">
        <f t="shared" si="716"/>
        <v>0</v>
      </c>
      <c r="I587" s="135">
        <f t="shared" si="716"/>
        <v>0</v>
      </c>
      <c r="J587" s="135">
        <f t="shared" si="718"/>
        <v>0</v>
      </c>
      <c r="K587" s="135">
        <f t="shared" si="719"/>
        <v>0</v>
      </c>
      <c r="L587" s="135">
        <f t="shared" si="720"/>
        <v>0</v>
      </c>
      <c r="M587" s="135">
        <f t="shared" si="721"/>
        <v>0</v>
      </c>
      <c r="N587" s="135">
        <f t="shared" si="722"/>
        <v>0</v>
      </c>
      <c r="O587" s="135">
        <f t="shared" si="723"/>
        <v>0</v>
      </c>
      <c r="P587" s="135">
        <f t="shared" si="724"/>
        <v>0</v>
      </c>
    </row>
    <row r="588" spans="1:16" ht="12.75" customHeight="1" x14ac:dyDescent="0.25">
      <c r="B588" s="134"/>
      <c r="C588" s="108" t="s">
        <v>211</v>
      </c>
      <c r="D588" s="108"/>
      <c r="E588" s="135"/>
      <c r="F588" s="135">
        <f t="shared" si="716"/>
        <v>0</v>
      </c>
      <c r="G588" s="194">
        <f t="shared" si="716"/>
        <v>0</v>
      </c>
      <c r="H588" s="135">
        <f t="shared" si="716"/>
        <v>0</v>
      </c>
      <c r="I588" s="135">
        <f t="shared" si="716"/>
        <v>0</v>
      </c>
      <c r="J588" s="135">
        <f t="shared" si="718"/>
        <v>0</v>
      </c>
      <c r="K588" s="135">
        <f t="shared" si="719"/>
        <v>0</v>
      </c>
      <c r="L588" s="135">
        <f t="shared" si="720"/>
        <v>0</v>
      </c>
      <c r="M588" s="135">
        <f t="shared" si="721"/>
        <v>0</v>
      </c>
      <c r="N588" s="135">
        <f t="shared" si="722"/>
        <v>0</v>
      </c>
      <c r="O588" s="135">
        <f t="shared" si="723"/>
        <v>0</v>
      </c>
      <c r="P588" s="135">
        <f t="shared" si="724"/>
        <v>0</v>
      </c>
    </row>
    <row r="589" spans="1:16" ht="12.75" customHeight="1" x14ac:dyDescent="0.25">
      <c r="B589" s="134"/>
      <c r="C589" s="108" t="s">
        <v>212</v>
      </c>
      <c r="D589" s="108"/>
      <c r="E589" s="135"/>
      <c r="F589" s="135">
        <f t="shared" si="716"/>
        <v>0</v>
      </c>
      <c r="G589" s="194">
        <f t="shared" si="716"/>
        <v>0</v>
      </c>
      <c r="H589" s="135">
        <f t="shared" si="716"/>
        <v>0</v>
      </c>
      <c r="I589" s="135">
        <f t="shared" si="716"/>
        <v>0</v>
      </c>
      <c r="J589" s="135">
        <f t="shared" si="718"/>
        <v>0</v>
      </c>
      <c r="K589" s="135">
        <f t="shared" si="719"/>
        <v>0</v>
      </c>
      <c r="L589" s="135">
        <f t="shared" si="720"/>
        <v>0</v>
      </c>
      <c r="M589" s="135">
        <f t="shared" si="721"/>
        <v>0</v>
      </c>
      <c r="N589" s="135">
        <f t="shared" si="722"/>
        <v>0</v>
      </c>
      <c r="O589" s="135">
        <f t="shared" si="723"/>
        <v>0</v>
      </c>
      <c r="P589" s="135">
        <f t="shared" si="724"/>
        <v>0</v>
      </c>
    </row>
    <row r="590" spans="1:16" ht="12.75" customHeight="1" x14ac:dyDescent="0.25">
      <c r="A590" s="73"/>
      <c r="B590" s="133"/>
      <c r="C590" s="136" t="s">
        <v>213</v>
      </c>
      <c r="D590" s="136"/>
      <c r="E590" s="132"/>
      <c r="F590" s="132">
        <f t="shared" si="716"/>
        <v>0</v>
      </c>
      <c r="G590" s="195">
        <f t="shared" si="716"/>
        <v>0</v>
      </c>
      <c r="H590" s="132">
        <f t="shared" si="716"/>
        <v>0</v>
      </c>
      <c r="I590" s="132">
        <f t="shared" si="716"/>
        <v>0</v>
      </c>
      <c r="J590" s="132">
        <f t="shared" si="718"/>
        <v>0</v>
      </c>
      <c r="K590" s="132">
        <f t="shared" si="719"/>
        <v>0</v>
      </c>
      <c r="L590" s="132">
        <f t="shared" si="720"/>
        <v>0</v>
      </c>
      <c r="M590" s="132">
        <f t="shared" si="721"/>
        <v>0</v>
      </c>
      <c r="N590" s="132">
        <f t="shared" si="722"/>
        <v>0</v>
      </c>
      <c r="O590" s="132">
        <f t="shared" si="723"/>
        <v>0</v>
      </c>
      <c r="P590" s="132">
        <f t="shared" si="724"/>
        <v>0</v>
      </c>
    </row>
    <row r="591" spans="1:16" ht="12.75" customHeight="1" x14ac:dyDescent="0.25">
      <c r="B591" s="134"/>
      <c r="C591" s="108" t="s">
        <v>219</v>
      </c>
      <c r="D591" s="108"/>
      <c r="E591" s="135"/>
      <c r="F591" s="135">
        <f t="shared" ref="F591:I591" si="725">SUM(F582:F590)</f>
        <v>0</v>
      </c>
      <c r="G591" s="194">
        <f t="shared" si="725"/>
        <v>0</v>
      </c>
      <c r="H591" s="135">
        <f t="shared" si="725"/>
        <v>0</v>
      </c>
      <c r="I591" s="135">
        <f t="shared" si="725"/>
        <v>0</v>
      </c>
      <c r="J591" s="135">
        <f t="shared" ref="J591:P591" si="726">SUM(J582:J590)</f>
        <v>0</v>
      </c>
      <c r="K591" s="135">
        <f t="shared" si="726"/>
        <v>0</v>
      </c>
      <c r="L591" s="135">
        <f t="shared" si="726"/>
        <v>0</v>
      </c>
      <c r="M591" s="135">
        <f t="shared" si="726"/>
        <v>0</v>
      </c>
      <c r="N591" s="135">
        <f t="shared" si="726"/>
        <v>0</v>
      </c>
      <c r="O591" s="135">
        <f t="shared" si="726"/>
        <v>0</v>
      </c>
      <c r="P591" s="135">
        <f t="shared" si="726"/>
        <v>0</v>
      </c>
    </row>
    <row r="592" spans="1:16" ht="12.75" customHeight="1" thickBot="1" x14ac:dyDescent="0.3">
      <c r="B592" s="225"/>
      <c r="C592" s="226"/>
      <c r="D592" s="226"/>
      <c r="E592" s="227"/>
      <c r="F592" s="227"/>
      <c r="G592" s="228"/>
      <c r="H592" s="227"/>
      <c r="I592" s="227"/>
      <c r="J592" s="227"/>
      <c r="K592" s="227"/>
      <c r="L592" s="227"/>
      <c r="M592" s="227"/>
      <c r="N592" s="227"/>
      <c r="O592" s="227"/>
      <c r="P592" s="227"/>
    </row>
    <row r="593" spans="1:16" ht="12.75" customHeight="1" thickTop="1" x14ac:dyDescent="0.25">
      <c r="B593" s="110" t="s">
        <v>10</v>
      </c>
      <c r="C593" s="108"/>
      <c r="D593" s="108"/>
      <c r="E593" s="135"/>
      <c r="F593" s="135">
        <f t="shared" ref="F593:I593" si="727">F555+F567+F579+F591</f>
        <v>0</v>
      </c>
      <c r="G593" s="194">
        <f t="shared" si="727"/>
        <v>0</v>
      </c>
      <c r="H593" s="135">
        <f t="shared" si="727"/>
        <v>0</v>
      </c>
      <c r="I593" s="135">
        <f t="shared" si="727"/>
        <v>0</v>
      </c>
      <c r="J593" s="135">
        <f t="shared" ref="J593:P593" si="728">J555+J567+J579+J591</f>
        <v>0</v>
      </c>
      <c r="K593" s="135">
        <f t="shared" si="728"/>
        <v>0</v>
      </c>
      <c r="L593" s="135">
        <f t="shared" si="728"/>
        <v>0</v>
      </c>
      <c r="M593" s="135">
        <f t="shared" si="728"/>
        <v>0</v>
      </c>
      <c r="N593" s="135">
        <f t="shared" si="728"/>
        <v>0</v>
      </c>
      <c r="O593" s="135">
        <f t="shared" si="728"/>
        <v>0</v>
      </c>
      <c r="P593" s="135">
        <f t="shared" si="728"/>
        <v>0</v>
      </c>
    </row>
    <row r="594" spans="1:16" ht="12.75" customHeight="1" x14ac:dyDescent="0.25">
      <c r="B594" s="134"/>
      <c r="C594" s="108"/>
      <c r="D594" s="108"/>
      <c r="E594" s="135"/>
      <c r="F594" s="135"/>
      <c r="G594" s="194"/>
      <c r="H594" s="135"/>
      <c r="I594" s="135"/>
      <c r="J594" s="135"/>
      <c r="K594" s="135"/>
      <c r="L594" s="135"/>
      <c r="M594" s="135"/>
      <c r="N594" s="135"/>
      <c r="O594" s="135"/>
      <c r="P594" s="135"/>
    </row>
    <row r="595" spans="1:16" ht="12.75" customHeight="1" x14ac:dyDescent="0.25">
      <c r="A595" s="72"/>
      <c r="B595" s="72" t="s">
        <v>259</v>
      </c>
      <c r="G595" s="151"/>
    </row>
    <row r="596" spans="1:16" ht="12.75" customHeight="1" x14ac:dyDescent="0.25">
      <c r="B596" s="110" t="s">
        <v>216</v>
      </c>
      <c r="C596" s="108"/>
      <c r="D596" s="108"/>
      <c r="G596" s="151"/>
    </row>
    <row r="597" spans="1:16" ht="12.75" customHeight="1" x14ac:dyDescent="0.25">
      <c r="B597" s="134"/>
      <c r="C597" s="108" t="s">
        <v>206</v>
      </c>
      <c r="D597" s="108"/>
      <c r="E597" s="135"/>
      <c r="F597" s="135">
        <f t="shared" ref="F597:I605" si="729">(F$16-E$16)*F490</f>
        <v>0</v>
      </c>
      <c r="G597" s="194">
        <f t="shared" si="729"/>
        <v>0</v>
      </c>
      <c r="H597" s="135">
        <f>(H$16-G$16)*H490</f>
        <v>0</v>
      </c>
      <c r="I597" s="135">
        <f>(I$16-H$16)*I490</f>
        <v>0</v>
      </c>
      <c r="J597" s="135">
        <f t="shared" ref="J597:P605" si="730">(J$16-I$16)*J490</f>
        <v>0</v>
      </c>
      <c r="K597" s="135">
        <f t="shared" si="730"/>
        <v>0</v>
      </c>
      <c r="L597" s="135">
        <f t="shared" si="730"/>
        <v>0</v>
      </c>
      <c r="M597" s="135">
        <f t="shared" si="730"/>
        <v>0</v>
      </c>
      <c r="N597" s="135">
        <f t="shared" si="730"/>
        <v>0</v>
      </c>
      <c r="O597" s="135">
        <f t="shared" si="730"/>
        <v>0</v>
      </c>
      <c r="P597" s="135">
        <f t="shared" si="730"/>
        <v>0</v>
      </c>
    </row>
    <row r="598" spans="1:16" ht="12.75" customHeight="1" x14ac:dyDescent="0.25">
      <c r="B598" s="134"/>
      <c r="C598" s="108" t="s">
        <v>214</v>
      </c>
      <c r="D598" s="108"/>
      <c r="E598" s="135"/>
      <c r="F598" s="135">
        <f t="shared" si="729"/>
        <v>0</v>
      </c>
      <c r="G598" s="194">
        <f t="shared" si="729"/>
        <v>0</v>
      </c>
      <c r="H598" s="135">
        <f t="shared" si="729"/>
        <v>0</v>
      </c>
      <c r="I598" s="135">
        <f t="shared" si="729"/>
        <v>0</v>
      </c>
      <c r="J598" s="135">
        <f t="shared" si="730"/>
        <v>0</v>
      </c>
      <c r="K598" s="135">
        <f t="shared" si="730"/>
        <v>0</v>
      </c>
      <c r="L598" s="135">
        <f t="shared" si="730"/>
        <v>0</v>
      </c>
      <c r="M598" s="135">
        <f t="shared" si="730"/>
        <v>0</v>
      </c>
      <c r="N598" s="135">
        <f t="shared" si="730"/>
        <v>0</v>
      </c>
      <c r="O598" s="135">
        <f t="shared" si="730"/>
        <v>0</v>
      </c>
      <c r="P598" s="135">
        <f t="shared" si="730"/>
        <v>0</v>
      </c>
    </row>
    <row r="599" spans="1:16" ht="12.75" customHeight="1" x14ac:dyDescent="0.25">
      <c r="B599" s="134"/>
      <c r="C599" s="108" t="s">
        <v>207</v>
      </c>
      <c r="D599" s="108"/>
      <c r="E599" s="135"/>
      <c r="F599" s="135">
        <f t="shared" si="729"/>
        <v>0</v>
      </c>
      <c r="G599" s="194">
        <f t="shared" si="729"/>
        <v>0</v>
      </c>
      <c r="H599" s="135">
        <f t="shared" si="729"/>
        <v>0</v>
      </c>
      <c r="I599" s="135">
        <f t="shared" si="729"/>
        <v>0</v>
      </c>
      <c r="J599" s="135">
        <f t="shared" si="730"/>
        <v>0</v>
      </c>
      <c r="K599" s="135">
        <f t="shared" si="730"/>
        <v>0</v>
      </c>
      <c r="L599" s="135">
        <f t="shared" si="730"/>
        <v>0</v>
      </c>
      <c r="M599" s="135">
        <f t="shared" si="730"/>
        <v>0</v>
      </c>
      <c r="N599" s="135">
        <f t="shared" si="730"/>
        <v>0</v>
      </c>
      <c r="O599" s="135">
        <f t="shared" si="730"/>
        <v>0</v>
      </c>
      <c r="P599" s="135">
        <f t="shared" si="730"/>
        <v>0</v>
      </c>
    </row>
    <row r="600" spans="1:16" ht="12.75" customHeight="1" x14ac:dyDescent="0.25">
      <c r="B600" s="134"/>
      <c r="C600" s="108" t="s">
        <v>208</v>
      </c>
      <c r="D600" s="108"/>
      <c r="E600" s="135"/>
      <c r="F600" s="135">
        <f t="shared" si="729"/>
        <v>0</v>
      </c>
      <c r="G600" s="194">
        <f t="shared" si="729"/>
        <v>0</v>
      </c>
      <c r="H600" s="135">
        <f t="shared" si="729"/>
        <v>0</v>
      </c>
      <c r="I600" s="135">
        <f t="shared" si="729"/>
        <v>0</v>
      </c>
      <c r="J600" s="135">
        <f t="shared" si="730"/>
        <v>0</v>
      </c>
      <c r="K600" s="135">
        <f t="shared" si="730"/>
        <v>0</v>
      </c>
      <c r="L600" s="135">
        <f t="shared" si="730"/>
        <v>0</v>
      </c>
      <c r="M600" s="135">
        <f t="shared" si="730"/>
        <v>0</v>
      </c>
      <c r="N600" s="135">
        <f t="shared" si="730"/>
        <v>0</v>
      </c>
      <c r="O600" s="135">
        <f t="shared" si="730"/>
        <v>0</v>
      </c>
      <c r="P600" s="135">
        <f t="shared" si="730"/>
        <v>0</v>
      </c>
    </row>
    <row r="601" spans="1:16" ht="12.75" customHeight="1" x14ac:dyDescent="0.25">
      <c r="B601" s="134"/>
      <c r="C601" s="108" t="s">
        <v>209</v>
      </c>
      <c r="D601" s="108"/>
      <c r="E601" s="135"/>
      <c r="F601" s="135">
        <f t="shared" si="729"/>
        <v>0</v>
      </c>
      <c r="G601" s="194">
        <f t="shared" si="729"/>
        <v>0</v>
      </c>
      <c r="H601" s="135">
        <f t="shared" si="729"/>
        <v>0</v>
      </c>
      <c r="I601" s="135">
        <f t="shared" si="729"/>
        <v>0</v>
      </c>
      <c r="J601" s="135">
        <f t="shared" si="730"/>
        <v>0</v>
      </c>
      <c r="K601" s="135">
        <f t="shared" si="730"/>
        <v>0</v>
      </c>
      <c r="L601" s="135">
        <f t="shared" si="730"/>
        <v>0</v>
      </c>
      <c r="M601" s="135">
        <f t="shared" si="730"/>
        <v>0</v>
      </c>
      <c r="N601" s="135">
        <f t="shared" si="730"/>
        <v>0</v>
      </c>
      <c r="O601" s="135">
        <f t="shared" si="730"/>
        <v>0</v>
      </c>
      <c r="P601" s="135">
        <f t="shared" si="730"/>
        <v>0</v>
      </c>
    </row>
    <row r="602" spans="1:16" ht="12.75" customHeight="1" x14ac:dyDescent="0.25">
      <c r="B602" s="134"/>
      <c r="C602" s="108" t="s">
        <v>210</v>
      </c>
      <c r="D602" s="108"/>
      <c r="E602" s="135"/>
      <c r="F602" s="135">
        <f t="shared" si="729"/>
        <v>0</v>
      </c>
      <c r="G602" s="194">
        <f t="shared" si="729"/>
        <v>0</v>
      </c>
      <c r="H602" s="135">
        <f t="shared" si="729"/>
        <v>0</v>
      </c>
      <c r="I602" s="135">
        <f t="shared" si="729"/>
        <v>0</v>
      </c>
      <c r="J602" s="135">
        <f t="shared" si="730"/>
        <v>0</v>
      </c>
      <c r="K602" s="135">
        <f t="shared" si="730"/>
        <v>0</v>
      </c>
      <c r="L602" s="135">
        <f t="shared" si="730"/>
        <v>0</v>
      </c>
      <c r="M602" s="135">
        <f t="shared" si="730"/>
        <v>0</v>
      </c>
      <c r="N602" s="135">
        <f t="shared" si="730"/>
        <v>0</v>
      </c>
      <c r="O602" s="135">
        <f t="shared" si="730"/>
        <v>0</v>
      </c>
      <c r="P602" s="135">
        <f t="shared" si="730"/>
        <v>0</v>
      </c>
    </row>
    <row r="603" spans="1:16" ht="12.75" customHeight="1" x14ac:dyDescent="0.25">
      <c r="B603" s="134"/>
      <c r="C603" s="108" t="s">
        <v>211</v>
      </c>
      <c r="D603" s="108"/>
      <c r="E603" s="135"/>
      <c r="F603" s="135">
        <f t="shared" si="729"/>
        <v>0</v>
      </c>
      <c r="G603" s="194">
        <f t="shared" si="729"/>
        <v>0</v>
      </c>
      <c r="H603" s="135">
        <f t="shared" si="729"/>
        <v>0</v>
      </c>
      <c r="I603" s="135">
        <f t="shared" si="729"/>
        <v>0</v>
      </c>
      <c r="J603" s="135">
        <f t="shared" si="730"/>
        <v>0</v>
      </c>
      <c r="K603" s="135">
        <f t="shared" si="730"/>
        <v>0</v>
      </c>
      <c r="L603" s="135">
        <f t="shared" si="730"/>
        <v>0</v>
      </c>
      <c r="M603" s="135">
        <f t="shared" si="730"/>
        <v>0</v>
      </c>
      <c r="N603" s="135">
        <f t="shared" si="730"/>
        <v>0</v>
      </c>
      <c r="O603" s="135">
        <f t="shared" si="730"/>
        <v>0</v>
      </c>
      <c r="P603" s="135">
        <f t="shared" si="730"/>
        <v>0</v>
      </c>
    </row>
    <row r="604" spans="1:16" ht="12.75" customHeight="1" x14ac:dyDescent="0.25">
      <c r="B604" s="134"/>
      <c r="C604" s="108" t="s">
        <v>212</v>
      </c>
      <c r="D604" s="108"/>
      <c r="E604" s="135"/>
      <c r="F604" s="135">
        <f t="shared" si="729"/>
        <v>0</v>
      </c>
      <c r="G604" s="194">
        <f t="shared" si="729"/>
        <v>0</v>
      </c>
      <c r="H604" s="135">
        <f t="shared" si="729"/>
        <v>0</v>
      </c>
      <c r="I604" s="135">
        <f t="shared" si="729"/>
        <v>0</v>
      </c>
      <c r="J604" s="135">
        <f t="shared" si="730"/>
        <v>0</v>
      </c>
      <c r="K604" s="135">
        <f t="shared" si="730"/>
        <v>0</v>
      </c>
      <c r="L604" s="135">
        <f t="shared" si="730"/>
        <v>0</v>
      </c>
      <c r="M604" s="135">
        <f t="shared" si="730"/>
        <v>0</v>
      </c>
      <c r="N604" s="135">
        <f t="shared" si="730"/>
        <v>0</v>
      </c>
      <c r="O604" s="135">
        <f t="shared" si="730"/>
        <v>0</v>
      </c>
      <c r="P604" s="135">
        <f t="shared" si="730"/>
        <v>0</v>
      </c>
    </row>
    <row r="605" spans="1:16" ht="12.75" customHeight="1" x14ac:dyDescent="0.25">
      <c r="A605" s="73"/>
      <c r="B605" s="133"/>
      <c r="C605" s="136" t="s">
        <v>213</v>
      </c>
      <c r="D605" s="136"/>
      <c r="E605" s="132"/>
      <c r="F605" s="132">
        <f t="shared" si="729"/>
        <v>0</v>
      </c>
      <c r="G605" s="195">
        <f t="shared" si="729"/>
        <v>0</v>
      </c>
      <c r="H605" s="132">
        <f t="shared" si="729"/>
        <v>0</v>
      </c>
      <c r="I605" s="132">
        <f t="shared" si="729"/>
        <v>0</v>
      </c>
      <c r="J605" s="132">
        <f t="shared" si="730"/>
        <v>0</v>
      </c>
      <c r="K605" s="132">
        <f t="shared" si="730"/>
        <v>0</v>
      </c>
      <c r="L605" s="132">
        <f t="shared" si="730"/>
        <v>0</v>
      </c>
      <c r="M605" s="132">
        <f t="shared" si="730"/>
        <v>0</v>
      </c>
      <c r="N605" s="132">
        <f t="shared" si="730"/>
        <v>0</v>
      </c>
      <c r="O605" s="132">
        <f t="shared" si="730"/>
        <v>0</v>
      </c>
      <c r="P605" s="132">
        <f t="shared" si="730"/>
        <v>0</v>
      </c>
    </row>
    <row r="606" spans="1:16" ht="12.75" customHeight="1" x14ac:dyDescent="0.25">
      <c r="B606" s="134"/>
      <c r="C606" s="108" t="s">
        <v>219</v>
      </c>
      <c r="D606" s="108"/>
      <c r="E606" s="135"/>
      <c r="F606" s="135">
        <f t="shared" ref="F606:I606" si="731">SUM(F597:F605)</f>
        <v>0</v>
      </c>
      <c r="G606" s="194">
        <f t="shared" si="731"/>
        <v>0</v>
      </c>
      <c r="H606" s="135">
        <f t="shared" si="731"/>
        <v>0</v>
      </c>
      <c r="I606" s="135">
        <f t="shared" si="731"/>
        <v>0</v>
      </c>
      <c r="J606" s="135">
        <f t="shared" ref="J606:P606" si="732">SUM(J597:J605)</f>
        <v>0</v>
      </c>
      <c r="K606" s="135">
        <f t="shared" si="732"/>
        <v>0</v>
      </c>
      <c r="L606" s="135">
        <f t="shared" si="732"/>
        <v>0</v>
      </c>
      <c r="M606" s="135">
        <f t="shared" si="732"/>
        <v>0</v>
      </c>
      <c r="N606" s="135">
        <f t="shared" si="732"/>
        <v>0</v>
      </c>
      <c r="O606" s="135">
        <f t="shared" si="732"/>
        <v>0</v>
      </c>
      <c r="P606" s="135">
        <f t="shared" si="732"/>
        <v>0</v>
      </c>
    </row>
    <row r="607" spans="1:16" ht="12.75" customHeight="1" x14ac:dyDescent="0.25">
      <c r="B607" s="134"/>
      <c r="C607" s="108"/>
      <c r="D607" s="108"/>
      <c r="E607" s="135"/>
      <c r="F607" s="135"/>
      <c r="G607" s="194"/>
      <c r="H607" s="135"/>
      <c r="I607" s="135"/>
      <c r="J607" s="135"/>
      <c r="K607" s="135"/>
      <c r="L607" s="135"/>
      <c r="M607" s="135"/>
      <c r="N607" s="135"/>
      <c r="O607" s="135"/>
      <c r="P607" s="135"/>
    </row>
    <row r="608" spans="1:16" ht="12.75" customHeight="1" x14ac:dyDescent="0.25">
      <c r="B608" s="110" t="s">
        <v>343</v>
      </c>
      <c r="C608" s="108"/>
      <c r="D608" s="108"/>
      <c r="G608" s="151"/>
    </row>
    <row r="609" spans="1:16" ht="12.75" customHeight="1" x14ac:dyDescent="0.25">
      <c r="B609" s="134"/>
      <c r="C609" s="108" t="s">
        <v>206</v>
      </c>
      <c r="D609" s="108"/>
      <c r="E609" s="135"/>
      <c r="F609" s="135">
        <f t="shared" ref="F609:I617" si="733">(F$17-E$17)*F502</f>
        <v>0</v>
      </c>
      <c r="G609" s="194">
        <f t="shared" si="733"/>
        <v>0</v>
      </c>
      <c r="H609" s="135">
        <f>(H$17-G$17)*H502</f>
        <v>0</v>
      </c>
      <c r="I609" s="135">
        <f>(I$17-H$17)*I502</f>
        <v>0</v>
      </c>
      <c r="J609" s="135">
        <f t="shared" ref="J609:P617" si="734">(J$17-I$17)*J502</f>
        <v>0</v>
      </c>
      <c r="K609" s="135">
        <f t="shared" si="734"/>
        <v>0</v>
      </c>
      <c r="L609" s="135">
        <f t="shared" si="734"/>
        <v>0</v>
      </c>
      <c r="M609" s="135">
        <f t="shared" si="734"/>
        <v>0</v>
      </c>
      <c r="N609" s="135">
        <f t="shared" si="734"/>
        <v>0</v>
      </c>
      <c r="O609" s="135">
        <f t="shared" si="734"/>
        <v>0</v>
      </c>
      <c r="P609" s="135">
        <f t="shared" si="734"/>
        <v>0</v>
      </c>
    </row>
    <row r="610" spans="1:16" ht="12.75" customHeight="1" x14ac:dyDescent="0.25">
      <c r="B610" s="134"/>
      <c r="C610" s="108" t="s">
        <v>214</v>
      </c>
      <c r="D610" s="108"/>
      <c r="E610" s="135"/>
      <c r="F610" s="135">
        <f t="shared" si="733"/>
        <v>0</v>
      </c>
      <c r="G610" s="194">
        <f t="shared" si="733"/>
        <v>0</v>
      </c>
      <c r="H610" s="135">
        <f t="shared" si="733"/>
        <v>0</v>
      </c>
      <c r="I610" s="135">
        <f t="shared" si="733"/>
        <v>0</v>
      </c>
      <c r="J610" s="135">
        <f t="shared" si="734"/>
        <v>0</v>
      </c>
      <c r="K610" s="135">
        <f t="shared" si="734"/>
        <v>0</v>
      </c>
      <c r="L610" s="135">
        <f t="shared" si="734"/>
        <v>0</v>
      </c>
      <c r="M610" s="135">
        <f t="shared" si="734"/>
        <v>0</v>
      </c>
      <c r="N610" s="135">
        <f t="shared" si="734"/>
        <v>0</v>
      </c>
      <c r="O610" s="135">
        <f t="shared" si="734"/>
        <v>0</v>
      </c>
      <c r="P610" s="135">
        <f t="shared" si="734"/>
        <v>0</v>
      </c>
    </row>
    <row r="611" spans="1:16" ht="12.75" customHeight="1" x14ac:dyDescent="0.25">
      <c r="B611" s="134"/>
      <c r="C611" s="108" t="s">
        <v>207</v>
      </c>
      <c r="D611" s="108"/>
      <c r="E611" s="135"/>
      <c r="F611" s="135">
        <f t="shared" si="733"/>
        <v>0</v>
      </c>
      <c r="G611" s="194">
        <f t="shared" si="733"/>
        <v>0</v>
      </c>
      <c r="H611" s="135">
        <f t="shared" si="733"/>
        <v>0</v>
      </c>
      <c r="I611" s="135">
        <f t="shared" si="733"/>
        <v>0</v>
      </c>
      <c r="J611" s="135">
        <f t="shared" si="734"/>
        <v>0</v>
      </c>
      <c r="K611" s="135">
        <f t="shared" si="734"/>
        <v>0</v>
      </c>
      <c r="L611" s="135">
        <f t="shared" si="734"/>
        <v>0</v>
      </c>
      <c r="M611" s="135">
        <f t="shared" si="734"/>
        <v>0</v>
      </c>
      <c r="N611" s="135">
        <f t="shared" si="734"/>
        <v>0</v>
      </c>
      <c r="O611" s="135">
        <f t="shared" si="734"/>
        <v>0</v>
      </c>
      <c r="P611" s="135">
        <f t="shared" si="734"/>
        <v>0</v>
      </c>
    </row>
    <row r="612" spans="1:16" ht="12.75" customHeight="1" x14ac:dyDescent="0.25">
      <c r="B612" s="134"/>
      <c r="C612" s="108" t="s">
        <v>208</v>
      </c>
      <c r="D612" s="108"/>
      <c r="E612" s="135"/>
      <c r="F612" s="135">
        <f t="shared" si="733"/>
        <v>0</v>
      </c>
      <c r="G612" s="194">
        <f t="shared" si="733"/>
        <v>0</v>
      </c>
      <c r="H612" s="135">
        <f t="shared" si="733"/>
        <v>0</v>
      </c>
      <c r="I612" s="135">
        <f t="shared" si="733"/>
        <v>0</v>
      </c>
      <c r="J612" s="135">
        <f t="shared" si="734"/>
        <v>0</v>
      </c>
      <c r="K612" s="135">
        <f t="shared" si="734"/>
        <v>0</v>
      </c>
      <c r="L612" s="135">
        <f t="shared" si="734"/>
        <v>0</v>
      </c>
      <c r="M612" s="135">
        <f t="shared" si="734"/>
        <v>0</v>
      </c>
      <c r="N612" s="135">
        <f t="shared" si="734"/>
        <v>0</v>
      </c>
      <c r="O612" s="135">
        <f t="shared" si="734"/>
        <v>0</v>
      </c>
      <c r="P612" s="135">
        <f t="shared" si="734"/>
        <v>0</v>
      </c>
    </row>
    <row r="613" spans="1:16" ht="12.75" customHeight="1" x14ac:dyDescent="0.25">
      <c r="B613" s="134"/>
      <c r="C613" s="108" t="s">
        <v>209</v>
      </c>
      <c r="D613" s="108"/>
      <c r="E613" s="135"/>
      <c r="F613" s="135">
        <f t="shared" si="733"/>
        <v>0</v>
      </c>
      <c r="G613" s="194">
        <f t="shared" si="733"/>
        <v>0</v>
      </c>
      <c r="H613" s="135">
        <f t="shared" si="733"/>
        <v>0</v>
      </c>
      <c r="I613" s="135">
        <f t="shared" si="733"/>
        <v>0</v>
      </c>
      <c r="J613" s="135">
        <f t="shared" si="734"/>
        <v>0</v>
      </c>
      <c r="K613" s="135">
        <f t="shared" si="734"/>
        <v>0</v>
      </c>
      <c r="L613" s="135">
        <f t="shared" si="734"/>
        <v>0</v>
      </c>
      <c r="M613" s="135">
        <f t="shared" si="734"/>
        <v>0</v>
      </c>
      <c r="N613" s="135">
        <f t="shared" si="734"/>
        <v>0</v>
      </c>
      <c r="O613" s="135">
        <f t="shared" si="734"/>
        <v>0</v>
      </c>
      <c r="P613" s="135">
        <f t="shared" si="734"/>
        <v>0</v>
      </c>
    </row>
    <row r="614" spans="1:16" ht="12.75" customHeight="1" x14ac:dyDescent="0.25">
      <c r="B614" s="134"/>
      <c r="C614" s="108" t="s">
        <v>210</v>
      </c>
      <c r="D614" s="108"/>
      <c r="E614" s="135"/>
      <c r="F614" s="135">
        <f t="shared" si="733"/>
        <v>0</v>
      </c>
      <c r="G614" s="194">
        <f t="shared" si="733"/>
        <v>0</v>
      </c>
      <c r="H614" s="135">
        <f t="shared" si="733"/>
        <v>0</v>
      </c>
      <c r="I614" s="135">
        <f t="shared" si="733"/>
        <v>0</v>
      </c>
      <c r="J614" s="135">
        <f t="shared" si="734"/>
        <v>0</v>
      </c>
      <c r="K614" s="135">
        <f t="shared" si="734"/>
        <v>0</v>
      </c>
      <c r="L614" s="135">
        <f t="shared" si="734"/>
        <v>0</v>
      </c>
      <c r="M614" s="135">
        <f t="shared" si="734"/>
        <v>0</v>
      </c>
      <c r="N614" s="135">
        <f t="shared" si="734"/>
        <v>0</v>
      </c>
      <c r="O614" s="135">
        <f t="shared" si="734"/>
        <v>0</v>
      </c>
      <c r="P614" s="135">
        <f t="shared" si="734"/>
        <v>0</v>
      </c>
    </row>
    <row r="615" spans="1:16" ht="12.75" customHeight="1" x14ac:dyDescent="0.25">
      <c r="B615" s="134"/>
      <c r="C615" s="108" t="s">
        <v>211</v>
      </c>
      <c r="D615" s="108"/>
      <c r="E615" s="135"/>
      <c r="F615" s="135">
        <f t="shared" si="733"/>
        <v>0</v>
      </c>
      <c r="G615" s="194">
        <f t="shared" si="733"/>
        <v>0</v>
      </c>
      <c r="H615" s="135">
        <f t="shared" si="733"/>
        <v>0</v>
      </c>
      <c r="I615" s="135">
        <f t="shared" si="733"/>
        <v>0</v>
      </c>
      <c r="J615" s="135">
        <f t="shared" si="734"/>
        <v>0</v>
      </c>
      <c r="K615" s="135">
        <f t="shared" si="734"/>
        <v>0</v>
      </c>
      <c r="L615" s="135">
        <f t="shared" si="734"/>
        <v>0</v>
      </c>
      <c r="M615" s="135">
        <f t="shared" si="734"/>
        <v>0</v>
      </c>
      <c r="N615" s="135">
        <f t="shared" si="734"/>
        <v>0</v>
      </c>
      <c r="O615" s="135">
        <f t="shared" si="734"/>
        <v>0</v>
      </c>
      <c r="P615" s="135">
        <f t="shared" si="734"/>
        <v>0</v>
      </c>
    </row>
    <row r="616" spans="1:16" ht="12.75" customHeight="1" x14ac:dyDescent="0.25">
      <c r="B616" s="134"/>
      <c r="C616" s="108" t="s">
        <v>212</v>
      </c>
      <c r="D616" s="108"/>
      <c r="E616" s="135"/>
      <c r="F616" s="135">
        <f t="shared" si="733"/>
        <v>0</v>
      </c>
      <c r="G616" s="194">
        <f t="shared" si="733"/>
        <v>0</v>
      </c>
      <c r="H616" s="135">
        <f t="shared" si="733"/>
        <v>0</v>
      </c>
      <c r="I616" s="135">
        <f t="shared" si="733"/>
        <v>0</v>
      </c>
      <c r="J616" s="135">
        <f t="shared" si="734"/>
        <v>0</v>
      </c>
      <c r="K616" s="135">
        <f t="shared" si="734"/>
        <v>0</v>
      </c>
      <c r="L616" s="135">
        <f t="shared" si="734"/>
        <v>0</v>
      </c>
      <c r="M616" s="135">
        <f t="shared" si="734"/>
        <v>0</v>
      </c>
      <c r="N616" s="135">
        <f t="shared" si="734"/>
        <v>0</v>
      </c>
      <c r="O616" s="135">
        <f t="shared" si="734"/>
        <v>0</v>
      </c>
      <c r="P616" s="135">
        <f t="shared" si="734"/>
        <v>0</v>
      </c>
    </row>
    <row r="617" spans="1:16" ht="12.75" customHeight="1" x14ac:dyDescent="0.25">
      <c r="A617" s="73"/>
      <c r="B617" s="133"/>
      <c r="C617" s="136" t="s">
        <v>213</v>
      </c>
      <c r="D617" s="136"/>
      <c r="E617" s="132"/>
      <c r="F617" s="132">
        <f t="shared" si="733"/>
        <v>0</v>
      </c>
      <c r="G617" s="195">
        <f t="shared" si="733"/>
        <v>0</v>
      </c>
      <c r="H617" s="132">
        <f t="shared" si="733"/>
        <v>0</v>
      </c>
      <c r="I617" s="132">
        <f t="shared" si="733"/>
        <v>0</v>
      </c>
      <c r="J617" s="132">
        <f t="shared" si="734"/>
        <v>0</v>
      </c>
      <c r="K617" s="132">
        <f t="shared" si="734"/>
        <v>0</v>
      </c>
      <c r="L617" s="132">
        <f t="shared" si="734"/>
        <v>0</v>
      </c>
      <c r="M617" s="132">
        <f t="shared" si="734"/>
        <v>0</v>
      </c>
      <c r="N617" s="132">
        <f t="shared" si="734"/>
        <v>0</v>
      </c>
      <c r="O617" s="132">
        <f t="shared" si="734"/>
        <v>0</v>
      </c>
      <c r="P617" s="132">
        <f t="shared" si="734"/>
        <v>0</v>
      </c>
    </row>
    <row r="618" spans="1:16" ht="12.75" customHeight="1" x14ac:dyDescent="0.25">
      <c r="B618" s="134"/>
      <c r="C618" s="108" t="s">
        <v>219</v>
      </c>
      <c r="D618" s="108"/>
      <c r="E618" s="135"/>
      <c r="F618" s="135">
        <f t="shared" ref="F618:I618" si="735">SUM(F609:F617)</f>
        <v>0</v>
      </c>
      <c r="G618" s="194">
        <f t="shared" si="735"/>
        <v>0</v>
      </c>
      <c r="H618" s="135">
        <f t="shared" si="735"/>
        <v>0</v>
      </c>
      <c r="I618" s="135">
        <f t="shared" si="735"/>
        <v>0</v>
      </c>
      <c r="J618" s="135">
        <f t="shared" ref="J618:P618" si="736">SUM(J609:J617)</f>
        <v>0</v>
      </c>
      <c r="K618" s="135">
        <f t="shared" si="736"/>
        <v>0</v>
      </c>
      <c r="L618" s="135">
        <f t="shared" si="736"/>
        <v>0</v>
      </c>
      <c r="M618" s="135">
        <f t="shared" si="736"/>
        <v>0</v>
      </c>
      <c r="N618" s="135">
        <f t="shared" si="736"/>
        <v>0</v>
      </c>
      <c r="O618" s="135">
        <f t="shared" si="736"/>
        <v>0</v>
      </c>
      <c r="P618" s="135">
        <f t="shared" si="736"/>
        <v>0</v>
      </c>
    </row>
    <row r="619" spans="1:16" ht="12.75" customHeight="1" x14ac:dyDescent="0.25">
      <c r="B619" s="134"/>
      <c r="C619" s="108"/>
      <c r="D619" s="108"/>
      <c r="E619" s="135"/>
      <c r="F619" s="135"/>
      <c r="G619" s="194"/>
      <c r="H619" s="135"/>
      <c r="I619" s="135"/>
      <c r="J619" s="135"/>
      <c r="K619" s="135"/>
      <c r="L619" s="135"/>
      <c r="M619" s="135"/>
      <c r="N619" s="135"/>
      <c r="O619" s="135"/>
      <c r="P619" s="135"/>
    </row>
    <row r="620" spans="1:16" ht="12.75" customHeight="1" x14ac:dyDescent="0.25">
      <c r="B620" s="110" t="s">
        <v>297</v>
      </c>
      <c r="C620" s="108"/>
      <c r="D620" s="108"/>
      <c r="G620" s="151"/>
    </row>
    <row r="621" spans="1:16" ht="12.75" customHeight="1" x14ac:dyDescent="0.25">
      <c r="B621" s="134"/>
      <c r="C621" s="108" t="s">
        <v>206</v>
      </c>
      <c r="D621" s="108"/>
      <c r="E621" s="135"/>
      <c r="F621" s="135">
        <f t="shared" ref="F621:I629" si="737">(F$18-E$18)*F514</f>
        <v>0</v>
      </c>
      <c r="G621" s="194">
        <f t="shared" si="737"/>
        <v>0</v>
      </c>
      <c r="H621" s="135">
        <f>(H$18-G$18)*H514</f>
        <v>0</v>
      </c>
      <c r="I621" s="135">
        <f>(I$18-H$18)*I514</f>
        <v>0</v>
      </c>
      <c r="J621" s="135">
        <f t="shared" ref="J621:P629" si="738">(J$18-I$18)*J514</f>
        <v>0</v>
      </c>
      <c r="K621" s="135">
        <f t="shared" si="738"/>
        <v>0</v>
      </c>
      <c r="L621" s="135">
        <f t="shared" si="738"/>
        <v>0</v>
      </c>
      <c r="M621" s="135">
        <f t="shared" si="738"/>
        <v>0</v>
      </c>
      <c r="N621" s="135">
        <f t="shared" si="738"/>
        <v>0</v>
      </c>
      <c r="O621" s="135">
        <f t="shared" si="738"/>
        <v>0</v>
      </c>
      <c r="P621" s="135">
        <f t="shared" si="738"/>
        <v>0</v>
      </c>
    </row>
    <row r="622" spans="1:16" ht="12.75" customHeight="1" x14ac:dyDescent="0.25">
      <c r="B622" s="134"/>
      <c r="C622" s="108" t="s">
        <v>214</v>
      </c>
      <c r="D622" s="108"/>
      <c r="E622" s="135"/>
      <c r="F622" s="135">
        <f t="shared" si="737"/>
        <v>0</v>
      </c>
      <c r="G622" s="194">
        <f t="shared" si="737"/>
        <v>0</v>
      </c>
      <c r="H622" s="135">
        <f t="shared" si="737"/>
        <v>0</v>
      </c>
      <c r="I622" s="135">
        <f t="shared" si="737"/>
        <v>0</v>
      </c>
      <c r="J622" s="135">
        <f t="shared" si="738"/>
        <v>0</v>
      </c>
      <c r="K622" s="135">
        <f t="shared" si="738"/>
        <v>0</v>
      </c>
      <c r="L622" s="135">
        <f t="shared" si="738"/>
        <v>0</v>
      </c>
      <c r="M622" s="135">
        <f t="shared" si="738"/>
        <v>0</v>
      </c>
      <c r="N622" s="135">
        <f t="shared" si="738"/>
        <v>0</v>
      </c>
      <c r="O622" s="135">
        <f t="shared" si="738"/>
        <v>0</v>
      </c>
      <c r="P622" s="135">
        <f t="shared" si="738"/>
        <v>0</v>
      </c>
    </row>
    <row r="623" spans="1:16" ht="12.75" customHeight="1" x14ac:dyDescent="0.25">
      <c r="B623" s="134"/>
      <c r="C623" s="108" t="s">
        <v>207</v>
      </c>
      <c r="D623" s="108"/>
      <c r="E623" s="135"/>
      <c r="F623" s="135">
        <f t="shared" si="737"/>
        <v>0</v>
      </c>
      <c r="G623" s="194">
        <f t="shared" si="737"/>
        <v>0</v>
      </c>
      <c r="H623" s="135">
        <f t="shared" si="737"/>
        <v>0</v>
      </c>
      <c r="I623" s="135">
        <f t="shared" si="737"/>
        <v>0</v>
      </c>
      <c r="J623" s="135">
        <f t="shared" si="738"/>
        <v>0</v>
      </c>
      <c r="K623" s="135">
        <f t="shared" si="738"/>
        <v>0</v>
      </c>
      <c r="L623" s="135">
        <f t="shared" si="738"/>
        <v>0</v>
      </c>
      <c r="M623" s="135">
        <f t="shared" si="738"/>
        <v>0</v>
      </c>
      <c r="N623" s="135">
        <f t="shared" si="738"/>
        <v>0</v>
      </c>
      <c r="O623" s="135">
        <f t="shared" si="738"/>
        <v>0</v>
      </c>
      <c r="P623" s="135">
        <f t="shared" si="738"/>
        <v>0</v>
      </c>
    </row>
    <row r="624" spans="1:16" ht="12.75" customHeight="1" x14ac:dyDescent="0.25">
      <c r="B624" s="134"/>
      <c r="C624" s="108" t="s">
        <v>208</v>
      </c>
      <c r="D624" s="108"/>
      <c r="E624" s="135"/>
      <c r="F624" s="135">
        <f t="shared" si="737"/>
        <v>0</v>
      </c>
      <c r="G624" s="194">
        <f t="shared" si="737"/>
        <v>0</v>
      </c>
      <c r="H624" s="135">
        <f t="shared" si="737"/>
        <v>0</v>
      </c>
      <c r="I624" s="135">
        <f t="shared" si="737"/>
        <v>0</v>
      </c>
      <c r="J624" s="135">
        <f t="shared" si="738"/>
        <v>0</v>
      </c>
      <c r="K624" s="135">
        <f t="shared" si="738"/>
        <v>0</v>
      </c>
      <c r="L624" s="135">
        <f t="shared" si="738"/>
        <v>0</v>
      </c>
      <c r="M624" s="135">
        <f t="shared" si="738"/>
        <v>0</v>
      </c>
      <c r="N624" s="135">
        <f t="shared" si="738"/>
        <v>0</v>
      </c>
      <c r="O624" s="135">
        <f t="shared" si="738"/>
        <v>0</v>
      </c>
      <c r="P624" s="135">
        <f t="shared" si="738"/>
        <v>0</v>
      </c>
    </row>
    <row r="625" spans="1:16" ht="12.75" customHeight="1" x14ac:dyDescent="0.25">
      <c r="B625" s="134"/>
      <c r="C625" s="108" t="s">
        <v>209</v>
      </c>
      <c r="D625" s="108"/>
      <c r="E625" s="135"/>
      <c r="F625" s="135">
        <f t="shared" si="737"/>
        <v>0</v>
      </c>
      <c r="G625" s="194">
        <f t="shared" si="737"/>
        <v>0</v>
      </c>
      <c r="H625" s="135">
        <f t="shared" si="737"/>
        <v>0</v>
      </c>
      <c r="I625" s="135">
        <f t="shared" si="737"/>
        <v>0</v>
      </c>
      <c r="J625" s="135">
        <f t="shared" si="738"/>
        <v>0</v>
      </c>
      <c r="K625" s="135">
        <f t="shared" si="738"/>
        <v>0</v>
      </c>
      <c r="L625" s="135">
        <f t="shared" si="738"/>
        <v>0</v>
      </c>
      <c r="M625" s="135">
        <f t="shared" si="738"/>
        <v>0</v>
      </c>
      <c r="N625" s="135">
        <f t="shared" si="738"/>
        <v>0</v>
      </c>
      <c r="O625" s="135">
        <f t="shared" si="738"/>
        <v>0</v>
      </c>
      <c r="P625" s="135">
        <f t="shared" si="738"/>
        <v>0</v>
      </c>
    </row>
    <row r="626" spans="1:16" ht="12.75" customHeight="1" x14ac:dyDescent="0.25">
      <c r="B626" s="134"/>
      <c r="C626" s="108" t="s">
        <v>210</v>
      </c>
      <c r="D626" s="108"/>
      <c r="E626" s="135"/>
      <c r="F626" s="135">
        <f t="shared" si="737"/>
        <v>0</v>
      </c>
      <c r="G626" s="194">
        <f t="shared" si="737"/>
        <v>0</v>
      </c>
      <c r="H626" s="135">
        <f t="shared" si="737"/>
        <v>0</v>
      </c>
      <c r="I626" s="135">
        <f t="shared" si="737"/>
        <v>0</v>
      </c>
      <c r="J626" s="135">
        <f t="shared" si="738"/>
        <v>0</v>
      </c>
      <c r="K626" s="135">
        <f t="shared" si="738"/>
        <v>0</v>
      </c>
      <c r="L626" s="135">
        <f t="shared" si="738"/>
        <v>0</v>
      </c>
      <c r="M626" s="135">
        <f t="shared" si="738"/>
        <v>0</v>
      </c>
      <c r="N626" s="135">
        <f t="shared" si="738"/>
        <v>0</v>
      </c>
      <c r="O626" s="135">
        <f t="shared" si="738"/>
        <v>0</v>
      </c>
      <c r="P626" s="135">
        <f t="shared" si="738"/>
        <v>0</v>
      </c>
    </row>
    <row r="627" spans="1:16" ht="12.75" customHeight="1" x14ac:dyDescent="0.25">
      <c r="B627" s="134"/>
      <c r="C627" s="108" t="s">
        <v>211</v>
      </c>
      <c r="D627" s="108"/>
      <c r="E627" s="135"/>
      <c r="F627" s="135">
        <f t="shared" si="737"/>
        <v>0</v>
      </c>
      <c r="G627" s="194">
        <f t="shared" si="737"/>
        <v>0</v>
      </c>
      <c r="H627" s="135">
        <f t="shared" si="737"/>
        <v>0</v>
      </c>
      <c r="I627" s="135">
        <f t="shared" si="737"/>
        <v>0</v>
      </c>
      <c r="J627" s="135">
        <f t="shared" si="738"/>
        <v>0</v>
      </c>
      <c r="K627" s="135">
        <f t="shared" si="738"/>
        <v>0</v>
      </c>
      <c r="L627" s="135">
        <f t="shared" si="738"/>
        <v>0</v>
      </c>
      <c r="M627" s="135">
        <f t="shared" si="738"/>
        <v>0</v>
      </c>
      <c r="N627" s="135">
        <f t="shared" si="738"/>
        <v>0</v>
      </c>
      <c r="O627" s="135">
        <f t="shared" si="738"/>
        <v>0</v>
      </c>
      <c r="P627" s="135">
        <f t="shared" si="738"/>
        <v>0</v>
      </c>
    </row>
    <row r="628" spans="1:16" ht="12.75" customHeight="1" x14ac:dyDescent="0.25">
      <c r="B628" s="134"/>
      <c r="C628" s="108" t="s">
        <v>212</v>
      </c>
      <c r="D628" s="108"/>
      <c r="E628" s="135"/>
      <c r="F628" s="135">
        <f t="shared" si="737"/>
        <v>0</v>
      </c>
      <c r="G628" s="194">
        <f t="shared" si="737"/>
        <v>0</v>
      </c>
      <c r="H628" s="135">
        <f t="shared" si="737"/>
        <v>0</v>
      </c>
      <c r="I628" s="135">
        <f t="shared" si="737"/>
        <v>0</v>
      </c>
      <c r="J628" s="135">
        <f t="shared" si="738"/>
        <v>0</v>
      </c>
      <c r="K628" s="135">
        <f t="shared" si="738"/>
        <v>0</v>
      </c>
      <c r="L628" s="135">
        <f t="shared" si="738"/>
        <v>0</v>
      </c>
      <c r="M628" s="135">
        <f t="shared" si="738"/>
        <v>0</v>
      </c>
      <c r="N628" s="135">
        <f t="shared" si="738"/>
        <v>0</v>
      </c>
      <c r="O628" s="135">
        <f t="shared" si="738"/>
        <v>0</v>
      </c>
      <c r="P628" s="135">
        <f t="shared" si="738"/>
        <v>0</v>
      </c>
    </row>
    <row r="629" spans="1:16" ht="12.75" customHeight="1" x14ac:dyDescent="0.25">
      <c r="A629" s="73"/>
      <c r="B629" s="133"/>
      <c r="C629" s="136" t="s">
        <v>213</v>
      </c>
      <c r="D629" s="136"/>
      <c r="E629" s="132"/>
      <c r="F629" s="132">
        <f t="shared" si="737"/>
        <v>0</v>
      </c>
      <c r="G629" s="195">
        <f t="shared" si="737"/>
        <v>0</v>
      </c>
      <c r="H629" s="132">
        <f t="shared" si="737"/>
        <v>0</v>
      </c>
      <c r="I629" s="132">
        <f t="shared" si="737"/>
        <v>0</v>
      </c>
      <c r="J629" s="132">
        <f t="shared" si="738"/>
        <v>0</v>
      </c>
      <c r="K629" s="132">
        <f t="shared" si="738"/>
        <v>0</v>
      </c>
      <c r="L629" s="132">
        <f t="shared" si="738"/>
        <v>0</v>
      </c>
      <c r="M629" s="132">
        <f t="shared" si="738"/>
        <v>0</v>
      </c>
      <c r="N629" s="132">
        <f t="shared" si="738"/>
        <v>0</v>
      </c>
      <c r="O629" s="132">
        <f t="shared" si="738"/>
        <v>0</v>
      </c>
      <c r="P629" s="132">
        <f t="shared" si="738"/>
        <v>0</v>
      </c>
    </row>
    <row r="630" spans="1:16" ht="12.75" customHeight="1" x14ac:dyDescent="0.25">
      <c r="B630" s="134"/>
      <c r="C630" s="108" t="s">
        <v>219</v>
      </c>
      <c r="D630" s="108"/>
      <c r="E630" s="135"/>
      <c r="F630" s="135">
        <f t="shared" ref="F630:I630" si="739">SUM(F621:F629)</f>
        <v>0</v>
      </c>
      <c r="G630" s="194">
        <f t="shared" si="739"/>
        <v>0</v>
      </c>
      <c r="H630" s="135">
        <f t="shared" si="739"/>
        <v>0</v>
      </c>
      <c r="I630" s="135">
        <f t="shared" si="739"/>
        <v>0</v>
      </c>
      <c r="J630" s="135">
        <f t="shared" ref="J630:P630" si="740">SUM(J621:J629)</f>
        <v>0</v>
      </c>
      <c r="K630" s="135">
        <f t="shared" si="740"/>
        <v>0</v>
      </c>
      <c r="L630" s="135">
        <f t="shared" si="740"/>
        <v>0</v>
      </c>
      <c r="M630" s="135">
        <f t="shared" si="740"/>
        <v>0</v>
      </c>
      <c r="N630" s="135">
        <f t="shared" si="740"/>
        <v>0</v>
      </c>
      <c r="O630" s="135">
        <f t="shared" si="740"/>
        <v>0</v>
      </c>
      <c r="P630" s="135">
        <f t="shared" si="740"/>
        <v>0</v>
      </c>
    </row>
    <row r="631" spans="1:16" ht="12.75" customHeight="1" x14ac:dyDescent="0.25">
      <c r="B631" s="134"/>
      <c r="C631" s="108"/>
      <c r="D631" s="108"/>
      <c r="E631" s="135"/>
      <c r="F631" s="135"/>
      <c r="G631" s="194"/>
      <c r="H631" s="135"/>
      <c r="I631" s="135"/>
      <c r="J631" s="135"/>
      <c r="K631" s="135"/>
      <c r="L631" s="135"/>
      <c r="M631" s="135"/>
      <c r="N631" s="135"/>
      <c r="O631" s="135"/>
      <c r="P631" s="135"/>
    </row>
    <row r="632" spans="1:16" ht="12.75" customHeight="1" x14ac:dyDescent="0.25">
      <c r="B632" s="29" t="s">
        <v>297</v>
      </c>
      <c r="C632" s="108"/>
      <c r="D632" s="108"/>
      <c r="E632" s="25"/>
      <c r="F632" s="25"/>
      <c r="G632" s="182"/>
      <c r="H632" s="25"/>
      <c r="I632" s="25"/>
      <c r="J632" s="25"/>
      <c r="K632" s="25"/>
      <c r="L632" s="25"/>
      <c r="M632" s="25"/>
      <c r="N632" s="25"/>
      <c r="O632" s="25"/>
      <c r="P632" s="25"/>
    </row>
    <row r="633" spans="1:16" ht="12.75" customHeight="1" x14ac:dyDescent="0.25">
      <c r="B633" s="134"/>
      <c r="C633" s="108" t="s">
        <v>206</v>
      </c>
      <c r="D633" s="108"/>
      <c r="E633" s="135"/>
      <c r="F633" s="135">
        <f t="shared" ref="F633:I641" si="741">(F$19-E$19)*F526</f>
        <v>0</v>
      </c>
      <c r="G633" s="194">
        <f t="shared" si="741"/>
        <v>0</v>
      </c>
      <c r="H633" s="135">
        <f>(H$19-G$19)*H526</f>
        <v>0</v>
      </c>
      <c r="I633" s="135">
        <f>(I$19-H$19)*I526</f>
        <v>0</v>
      </c>
      <c r="J633" s="135">
        <f t="shared" ref="J633:P641" si="742">(J$19-I$19)*J526</f>
        <v>0</v>
      </c>
      <c r="K633" s="135">
        <f t="shared" si="742"/>
        <v>0</v>
      </c>
      <c r="L633" s="135">
        <f t="shared" si="742"/>
        <v>0</v>
      </c>
      <c r="M633" s="135">
        <f t="shared" si="742"/>
        <v>0</v>
      </c>
      <c r="N633" s="135">
        <f t="shared" si="742"/>
        <v>0</v>
      </c>
      <c r="O633" s="135">
        <f t="shared" si="742"/>
        <v>0</v>
      </c>
      <c r="P633" s="135">
        <f t="shared" si="742"/>
        <v>0</v>
      </c>
    </row>
    <row r="634" spans="1:16" ht="12.75" customHeight="1" x14ac:dyDescent="0.25">
      <c r="B634" s="134"/>
      <c r="C634" s="108" t="s">
        <v>214</v>
      </c>
      <c r="D634" s="108"/>
      <c r="E634" s="135"/>
      <c r="F634" s="135">
        <f t="shared" si="741"/>
        <v>0</v>
      </c>
      <c r="G634" s="194">
        <f t="shared" si="741"/>
        <v>0</v>
      </c>
      <c r="H634" s="135">
        <f t="shared" si="741"/>
        <v>0</v>
      </c>
      <c r="I634" s="135">
        <f t="shared" si="741"/>
        <v>0</v>
      </c>
      <c r="J634" s="135">
        <f t="shared" si="742"/>
        <v>0</v>
      </c>
      <c r="K634" s="135">
        <f t="shared" si="742"/>
        <v>0</v>
      </c>
      <c r="L634" s="135">
        <f t="shared" si="742"/>
        <v>0</v>
      </c>
      <c r="M634" s="135">
        <f t="shared" si="742"/>
        <v>0</v>
      </c>
      <c r="N634" s="135">
        <f t="shared" si="742"/>
        <v>0</v>
      </c>
      <c r="O634" s="135">
        <f t="shared" si="742"/>
        <v>0</v>
      </c>
      <c r="P634" s="135">
        <f t="shared" si="742"/>
        <v>0</v>
      </c>
    </row>
    <row r="635" spans="1:16" ht="12.75" customHeight="1" x14ac:dyDescent="0.25">
      <c r="B635" s="134"/>
      <c r="C635" s="108" t="s">
        <v>207</v>
      </c>
      <c r="D635" s="108"/>
      <c r="E635" s="135"/>
      <c r="F635" s="135">
        <f t="shared" si="741"/>
        <v>0</v>
      </c>
      <c r="G635" s="194">
        <f t="shared" si="741"/>
        <v>0</v>
      </c>
      <c r="H635" s="135">
        <f t="shared" si="741"/>
        <v>0</v>
      </c>
      <c r="I635" s="135">
        <f t="shared" si="741"/>
        <v>0</v>
      </c>
      <c r="J635" s="135">
        <f t="shared" si="742"/>
        <v>0</v>
      </c>
      <c r="K635" s="135">
        <f t="shared" si="742"/>
        <v>0</v>
      </c>
      <c r="L635" s="135">
        <f t="shared" si="742"/>
        <v>0</v>
      </c>
      <c r="M635" s="135">
        <f t="shared" si="742"/>
        <v>0</v>
      </c>
      <c r="N635" s="135">
        <f t="shared" si="742"/>
        <v>0</v>
      </c>
      <c r="O635" s="135">
        <f t="shared" si="742"/>
        <v>0</v>
      </c>
      <c r="P635" s="135">
        <f t="shared" si="742"/>
        <v>0</v>
      </c>
    </row>
    <row r="636" spans="1:16" ht="12.75" customHeight="1" x14ac:dyDescent="0.25">
      <c r="B636" s="134"/>
      <c r="C636" s="108" t="s">
        <v>208</v>
      </c>
      <c r="D636" s="108"/>
      <c r="E636" s="135"/>
      <c r="F636" s="135">
        <f t="shared" si="741"/>
        <v>0</v>
      </c>
      <c r="G636" s="194">
        <f t="shared" si="741"/>
        <v>0</v>
      </c>
      <c r="H636" s="135">
        <f t="shared" si="741"/>
        <v>0</v>
      </c>
      <c r="I636" s="135">
        <f t="shared" si="741"/>
        <v>0</v>
      </c>
      <c r="J636" s="135">
        <f t="shared" si="742"/>
        <v>0</v>
      </c>
      <c r="K636" s="135">
        <f t="shared" si="742"/>
        <v>0</v>
      </c>
      <c r="L636" s="135">
        <f t="shared" si="742"/>
        <v>0</v>
      </c>
      <c r="M636" s="135">
        <f t="shared" si="742"/>
        <v>0</v>
      </c>
      <c r="N636" s="135">
        <f t="shared" si="742"/>
        <v>0</v>
      </c>
      <c r="O636" s="135">
        <f t="shared" si="742"/>
        <v>0</v>
      </c>
      <c r="P636" s="135">
        <f t="shared" si="742"/>
        <v>0</v>
      </c>
    </row>
    <row r="637" spans="1:16" ht="12.75" customHeight="1" x14ac:dyDescent="0.25">
      <c r="B637" s="134"/>
      <c r="C637" s="108" t="s">
        <v>209</v>
      </c>
      <c r="D637" s="108"/>
      <c r="E637" s="135"/>
      <c r="F637" s="135">
        <f t="shared" si="741"/>
        <v>0</v>
      </c>
      <c r="G637" s="194">
        <f t="shared" si="741"/>
        <v>0</v>
      </c>
      <c r="H637" s="135">
        <f t="shared" si="741"/>
        <v>0</v>
      </c>
      <c r="I637" s="135">
        <f t="shared" si="741"/>
        <v>0</v>
      </c>
      <c r="J637" s="135">
        <f t="shared" si="742"/>
        <v>0</v>
      </c>
      <c r="K637" s="135">
        <f t="shared" si="742"/>
        <v>0</v>
      </c>
      <c r="L637" s="135">
        <f t="shared" si="742"/>
        <v>0</v>
      </c>
      <c r="M637" s="135">
        <f t="shared" si="742"/>
        <v>0</v>
      </c>
      <c r="N637" s="135">
        <f t="shared" si="742"/>
        <v>0</v>
      </c>
      <c r="O637" s="135">
        <f t="shared" si="742"/>
        <v>0</v>
      </c>
      <c r="P637" s="135">
        <f t="shared" si="742"/>
        <v>0</v>
      </c>
    </row>
    <row r="638" spans="1:16" ht="12.75" customHeight="1" x14ac:dyDescent="0.25">
      <c r="B638" s="134"/>
      <c r="C638" s="108" t="s">
        <v>210</v>
      </c>
      <c r="D638" s="108"/>
      <c r="E638" s="135"/>
      <c r="F638" s="135">
        <f t="shared" si="741"/>
        <v>0</v>
      </c>
      <c r="G638" s="194">
        <f t="shared" si="741"/>
        <v>0</v>
      </c>
      <c r="H638" s="135">
        <f t="shared" si="741"/>
        <v>0</v>
      </c>
      <c r="I638" s="135">
        <f t="shared" si="741"/>
        <v>0</v>
      </c>
      <c r="J638" s="135">
        <f t="shared" si="742"/>
        <v>0</v>
      </c>
      <c r="K638" s="135">
        <f t="shared" si="742"/>
        <v>0</v>
      </c>
      <c r="L638" s="135">
        <f t="shared" si="742"/>
        <v>0</v>
      </c>
      <c r="M638" s="135">
        <f t="shared" si="742"/>
        <v>0</v>
      </c>
      <c r="N638" s="135">
        <f t="shared" si="742"/>
        <v>0</v>
      </c>
      <c r="O638" s="135">
        <f t="shared" si="742"/>
        <v>0</v>
      </c>
      <c r="P638" s="135">
        <f t="shared" si="742"/>
        <v>0</v>
      </c>
    </row>
    <row r="639" spans="1:16" ht="12.75" customHeight="1" x14ac:dyDescent="0.25">
      <c r="B639" s="134"/>
      <c r="C639" s="108" t="s">
        <v>211</v>
      </c>
      <c r="D639" s="108"/>
      <c r="E639" s="135"/>
      <c r="F639" s="135">
        <f t="shared" si="741"/>
        <v>0</v>
      </c>
      <c r="G639" s="194">
        <f t="shared" si="741"/>
        <v>0</v>
      </c>
      <c r="H639" s="135">
        <f t="shared" si="741"/>
        <v>0</v>
      </c>
      <c r="I639" s="135">
        <f t="shared" si="741"/>
        <v>0</v>
      </c>
      <c r="J639" s="135">
        <f t="shared" si="742"/>
        <v>0</v>
      </c>
      <c r="K639" s="135">
        <f t="shared" si="742"/>
        <v>0</v>
      </c>
      <c r="L639" s="135">
        <f t="shared" si="742"/>
        <v>0</v>
      </c>
      <c r="M639" s="135">
        <f t="shared" si="742"/>
        <v>0</v>
      </c>
      <c r="N639" s="135">
        <f t="shared" si="742"/>
        <v>0</v>
      </c>
      <c r="O639" s="135">
        <f t="shared" si="742"/>
        <v>0</v>
      </c>
      <c r="P639" s="135">
        <f t="shared" si="742"/>
        <v>0</v>
      </c>
    </row>
    <row r="640" spans="1:16" ht="12.75" customHeight="1" x14ac:dyDescent="0.25">
      <c r="B640" s="134"/>
      <c r="C640" s="108" t="s">
        <v>212</v>
      </c>
      <c r="D640" s="108"/>
      <c r="E640" s="135"/>
      <c r="F640" s="135">
        <f t="shared" si="741"/>
        <v>0</v>
      </c>
      <c r="G640" s="194">
        <f t="shared" si="741"/>
        <v>0</v>
      </c>
      <c r="H640" s="135">
        <f t="shared" si="741"/>
        <v>0</v>
      </c>
      <c r="I640" s="135">
        <f t="shared" si="741"/>
        <v>0</v>
      </c>
      <c r="J640" s="135">
        <f t="shared" si="742"/>
        <v>0</v>
      </c>
      <c r="K640" s="135">
        <f t="shared" si="742"/>
        <v>0</v>
      </c>
      <c r="L640" s="135">
        <f t="shared" si="742"/>
        <v>0</v>
      </c>
      <c r="M640" s="135">
        <f t="shared" si="742"/>
        <v>0</v>
      </c>
      <c r="N640" s="135">
        <f t="shared" si="742"/>
        <v>0</v>
      </c>
      <c r="O640" s="135">
        <f t="shared" si="742"/>
        <v>0</v>
      </c>
      <c r="P640" s="135">
        <f t="shared" si="742"/>
        <v>0</v>
      </c>
    </row>
    <row r="641" spans="1:16" ht="12.75" customHeight="1" x14ac:dyDescent="0.25">
      <c r="A641" s="73"/>
      <c r="B641" s="133"/>
      <c r="C641" s="136" t="s">
        <v>213</v>
      </c>
      <c r="D641" s="136"/>
      <c r="E641" s="132"/>
      <c r="F641" s="132">
        <f t="shared" si="741"/>
        <v>0</v>
      </c>
      <c r="G641" s="195">
        <f t="shared" si="741"/>
        <v>0</v>
      </c>
      <c r="H641" s="132">
        <f t="shared" si="741"/>
        <v>0</v>
      </c>
      <c r="I641" s="132">
        <f t="shared" si="741"/>
        <v>0</v>
      </c>
      <c r="J641" s="132">
        <f t="shared" si="742"/>
        <v>0</v>
      </c>
      <c r="K641" s="132">
        <f t="shared" si="742"/>
        <v>0</v>
      </c>
      <c r="L641" s="132">
        <f t="shared" si="742"/>
        <v>0</v>
      </c>
      <c r="M641" s="132">
        <f t="shared" si="742"/>
        <v>0</v>
      </c>
      <c r="N641" s="132">
        <f t="shared" si="742"/>
        <v>0</v>
      </c>
      <c r="O641" s="132">
        <f t="shared" si="742"/>
        <v>0</v>
      </c>
      <c r="P641" s="132">
        <f t="shared" si="742"/>
        <v>0</v>
      </c>
    </row>
    <row r="642" spans="1:16" ht="12.75" customHeight="1" x14ac:dyDescent="0.25">
      <c r="B642" s="134"/>
      <c r="C642" s="108" t="s">
        <v>219</v>
      </c>
      <c r="D642" s="108"/>
      <c r="E642" s="135"/>
      <c r="F642" s="135">
        <f t="shared" ref="F642:I642" si="743">SUM(F633:F641)</f>
        <v>0</v>
      </c>
      <c r="G642" s="194">
        <f t="shared" si="743"/>
        <v>0</v>
      </c>
      <c r="H642" s="135">
        <f t="shared" si="743"/>
        <v>0</v>
      </c>
      <c r="I642" s="135">
        <f t="shared" si="743"/>
        <v>0</v>
      </c>
      <c r="J642" s="135">
        <f t="shared" ref="J642:P642" si="744">SUM(J633:J641)</f>
        <v>0</v>
      </c>
      <c r="K642" s="135">
        <f t="shared" si="744"/>
        <v>0</v>
      </c>
      <c r="L642" s="135">
        <f t="shared" si="744"/>
        <v>0</v>
      </c>
      <c r="M642" s="135">
        <f t="shared" si="744"/>
        <v>0</v>
      </c>
      <c r="N642" s="135">
        <f t="shared" si="744"/>
        <v>0</v>
      </c>
      <c r="O642" s="135">
        <f t="shared" si="744"/>
        <v>0</v>
      </c>
      <c r="P642" s="135">
        <f t="shared" si="744"/>
        <v>0</v>
      </c>
    </row>
    <row r="643" spans="1:16" ht="12.75" customHeight="1" thickBot="1" x14ac:dyDescent="0.3">
      <c r="B643" s="225"/>
      <c r="C643" s="226"/>
      <c r="D643" s="226"/>
      <c r="E643" s="227"/>
      <c r="F643" s="227"/>
      <c r="G643" s="228"/>
      <c r="H643" s="227"/>
      <c r="I643" s="227"/>
      <c r="J643" s="227"/>
      <c r="K643" s="227"/>
      <c r="L643" s="227"/>
      <c r="M643" s="227"/>
      <c r="N643" s="227"/>
      <c r="O643" s="227"/>
      <c r="P643" s="227"/>
    </row>
    <row r="644" spans="1:16" ht="12.75" customHeight="1" thickTop="1" x14ac:dyDescent="0.25">
      <c r="B644" s="110" t="s">
        <v>11</v>
      </c>
      <c r="C644" s="108"/>
      <c r="D644" s="108"/>
      <c r="E644" s="135"/>
      <c r="F644" s="135">
        <f t="shared" ref="F644:I644" si="745">F606+F618+F630+F642</f>
        <v>0</v>
      </c>
      <c r="G644" s="194">
        <f t="shared" si="745"/>
        <v>0</v>
      </c>
      <c r="H644" s="135">
        <f t="shared" si="745"/>
        <v>0</v>
      </c>
      <c r="I644" s="135">
        <f t="shared" si="745"/>
        <v>0</v>
      </c>
      <c r="J644" s="135">
        <f t="shared" ref="J644:P644" si="746">J606+J618+J630+J642</f>
        <v>0</v>
      </c>
      <c r="K644" s="135">
        <f t="shared" si="746"/>
        <v>0</v>
      </c>
      <c r="L644" s="135">
        <f t="shared" si="746"/>
        <v>0</v>
      </c>
      <c r="M644" s="135">
        <f t="shared" si="746"/>
        <v>0</v>
      </c>
      <c r="N644" s="135">
        <f t="shared" si="746"/>
        <v>0</v>
      </c>
      <c r="O644" s="135">
        <f t="shared" si="746"/>
        <v>0</v>
      </c>
      <c r="P644" s="135">
        <f t="shared" si="746"/>
        <v>0</v>
      </c>
    </row>
    <row r="645" spans="1:16" ht="12.75" customHeight="1" x14ac:dyDescent="0.25">
      <c r="B645" s="134"/>
      <c r="C645" s="108"/>
      <c r="D645" s="108"/>
      <c r="E645" s="135"/>
      <c r="F645" s="135"/>
      <c r="G645" s="194"/>
      <c r="H645" s="135"/>
      <c r="I645" s="135"/>
      <c r="J645" s="135"/>
      <c r="K645" s="135"/>
      <c r="L645" s="135"/>
      <c r="M645" s="135"/>
      <c r="N645" s="135"/>
      <c r="O645" s="135"/>
      <c r="P645" s="135"/>
    </row>
    <row r="646" spans="1:16" ht="12.75" customHeight="1" x14ac:dyDescent="0.25">
      <c r="A646" s="72" t="s">
        <v>103</v>
      </c>
      <c r="D646" s="41"/>
      <c r="E646" s="25"/>
      <c r="F646" s="25"/>
      <c r="G646" s="182"/>
      <c r="H646" s="25"/>
      <c r="I646" s="25"/>
      <c r="J646" s="25"/>
      <c r="K646" s="25"/>
      <c r="L646" s="25"/>
      <c r="M646" s="25"/>
      <c r="N646" s="25"/>
      <c r="O646" s="25"/>
      <c r="P646" s="25"/>
    </row>
    <row r="647" spans="1:16" ht="12.75" customHeight="1" x14ac:dyDescent="0.25">
      <c r="B647" s="22" t="s">
        <v>86</v>
      </c>
      <c r="C647" s="22"/>
      <c r="D647" s="223"/>
      <c r="E647" s="47"/>
      <c r="F647" s="47">
        <f>F420-E420</f>
        <v>0</v>
      </c>
      <c r="G647" s="183">
        <f>(G$23-F$23)*G540</f>
        <v>0</v>
      </c>
      <c r="H647" s="47">
        <f>(H$23-G$23)*H540</f>
        <v>0</v>
      </c>
      <c r="I647" s="47">
        <f>(I$23-H$23)*I540</f>
        <v>0</v>
      </c>
      <c r="J647" s="47">
        <f t="shared" ref="J647:P647" si="747">(J$23-I$23)*J540</f>
        <v>0</v>
      </c>
      <c r="K647" s="47">
        <f t="shared" si="747"/>
        <v>0</v>
      </c>
      <c r="L647" s="47">
        <f t="shared" si="747"/>
        <v>0</v>
      </c>
      <c r="M647" s="47">
        <f t="shared" si="747"/>
        <v>0</v>
      </c>
      <c r="N647" s="47">
        <f t="shared" si="747"/>
        <v>0</v>
      </c>
      <c r="O647" s="47">
        <f t="shared" si="747"/>
        <v>0</v>
      </c>
      <c r="P647" s="47">
        <f t="shared" si="747"/>
        <v>0</v>
      </c>
    </row>
    <row r="648" spans="1:16" ht="12.75" customHeight="1" x14ac:dyDescent="0.25">
      <c r="B648" s="29" t="s">
        <v>104</v>
      </c>
      <c r="D648" s="41"/>
      <c r="E648" s="25"/>
      <c r="F648" s="25">
        <f t="shared" ref="F648:I648" si="748">SUM(F647:F647)</f>
        <v>0</v>
      </c>
      <c r="G648" s="182">
        <f t="shared" si="748"/>
        <v>0</v>
      </c>
      <c r="H648" s="25">
        <f t="shared" si="748"/>
        <v>0</v>
      </c>
      <c r="I648" s="25">
        <f t="shared" si="748"/>
        <v>0</v>
      </c>
      <c r="J648" s="25">
        <f t="shared" ref="J648:P648" si="749">SUM(J647:J647)</f>
        <v>0</v>
      </c>
      <c r="K648" s="25">
        <f t="shared" si="749"/>
        <v>0</v>
      </c>
      <c r="L648" s="25">
        <f t="shared" si="749"/>
        <v>0</v>
      </c>
      <c r="M648" s="25">
        <f t="shared" si="749"/>
        <v>0</v>
      </c>
      <c r="N648" s="25">
        <f t="shared" si="749"/>
        <v>0</v>
      </c>
      <c r="O648" s="25">
        <f t="shared" si="749"/>
        <v>0</v>
      </c>
      <c r="P648" s="25">
        <f t="shared" si="749"/>
        <v>0</v>
      </c>
    </row>
    <row r="649" spans="1:16" ht="12.75" customHeight="1" thickBot="1" x14ac:dyDescent="0.3">
      <c r="A649" s="106"/>
      <c r="B649" s="224"/>
      <c r="C649" s="32"/>
      <c r="D649" s="56"/>
      <c r="E649" s="57"/>
      <c r="F649" s="57"/>
      <c r="G649" s="192"/>
      <c r="H649" s="57"/>
      <c r="I649" s="57"/>
      <c r="J649" s="57"/>
      <c r="K649" s="57"/>
      <c r="L649" s="57"/>
      <c r="M649" s="57"/>
      <c r="N649" s="57"/>
      <c r="O649" s="57"/>
      <c r="P649" s="57"/>
    </row>
    <row r="650" spans="1:16" ht="12.75" customHeight="1" thickTop="1" x14ac:dyDescent="0.25">
      <c r="A650" s="72" t="s">
        <v>256</v>
      </c>
      <c r="E650" s="135"/>
      <c r="F650" s="135"/>
      <c r="G650" s="194"/>
      <c r="H650" s="135"/>
      <c r="I650" s="135"/>
      <c r="J650" s="135"/>
      <c r="K650" s="135"/>
      <c r="L650" s="135"/>
      <c r="M650" s="135"/>
      <c r="N650" s="135"/>
      <c r="O650" s="135"/>
      <c r="P650" s="135"/>
    </row>
    <row r="651" spans="1:16" ht="12.75" customHeight="1" x14ac:dyDescent="0.25">
      <c r="B651" s="134"/>
      <c r="C651" s="108" t="s">
        <v>206</v>
      </c>
      <c r="D651" s="109"/>
      <c r="E651" s="135"/>
      <c r="F651" s="135">
        <f t="shared" ref="F651:I657" si="750">F546+F558+F570+F582+F597+F609+F621+F633</f>
        <v>0</v>
      </c>
      <c r="G651" s="194">
        <f t="shared" si="750"/>
        <v>0</v>
      </c>
      <c r="H651" s="135">
        <f t="shared" si="750"/>
        <v>0</v>
      </c>
      <c r="I651" s="135">
        <f t="shared" si="750"/>
        <v>0</v>
      </c>
      <c r="J651" s="135">
        <f t="shared" ref="J651:P651" si="751">J546+J558+J570+J582+J597+J609+J621+J633</f>
        <v>0</v>
      </c>
      <c r="K651" s="135">
        <f t="shared" si="751"/>
        <v>0</v>
      </c>
      <c r="L651" s="135">
        <f t="shared" si="751"/>
        <v>0</v>
      </c>
      <c r="M651" s="135">
        <f t="shared" si="751"/>
        <v>0</v>
      </c>
      <c r="N651" s="135">
        <f t="shared" si="751"/>
        <v>0</v>
      </c>
      <c r="O651" s="135">
        <f t="shared" si="751"/>
        <v>0</v>
      </c>
      <c r="P651" s="135">
        <f t="shared" si="751"/>
        <v>0</v>
      </c>
    </row>
    <row r="652" spans="1:16" ht="12.75" customHeight="1" x14ac:dyDescent="0.25">
      <c r="B652" s="134"/>
      <c r="C652" s="108" t="s">
        <v>214</v>
      </c>
      <c r="D652" s="109"/>
      <c r="E652" s="135"/>
      <c r="F652" s="135">
        <f t="shared" si="750"/>
        <v>0</v>
      </c>
      <c r="G652" s="194">
        <f t="shared" si="750"/>
        <v>0</v>
      </c>
      <c r="H652" s="135">
        <f t="shared" si="750"/>
        <v>0</v>
      </c>
      <c r="I652" s="135">
        <f t="shared" si="750"/>
        <v>0</v>
      </c>
      <c r="J652" s="135">
        <f t="shared" ref="J652:P652" si="752">J547+J559+J571+J583+J598+J610+J622+J634</f>
        <v>0</v>
      </c>
      <c r="K652" s="135">
        <f t="shared" si="752"/>
        <v>0</v>
      </c>
      <c r="L652" s="135">
        <f t="shared" si="752"/>
        <v>0</v>
      </c>
      <c r="M652" s="135">
        <f t="shared" si="752"/>
        <v>0</v>
      </c>
      <c r="N652" s="135">
        <f t="shared" si="752"/>
        <v>0</v>
      </c>
      <c r="O652" s="135">
        <f t="shared" si="752"/>
        <v>0</v>
      </c>
      <c r="P652" s="135">
        <f t="shared" si="752"/>
        <v>0</v>
      </c>
    </row>
    <row r="653" spans="1:16" ht="12.75" customHeight="1" x14ac:dyDescent="0.25">
      <c r="B653" s="134"/>
      <c r="C653" s="108" t="s">
        <v>207</v>
      </c>
      <c r="D653" s="109"/>
      <c r="E653" s="135"/>
      <c r="F653" s="135">
        <f t="shared" si="750"/>
        <v>0</v>
      </c>
      <c r="G653" s="194">
        <f t="shared" si="750"/>
        <v>0</v>
      </c>
      <c r="H653" s="135">
        <f t="shared" si="750"/>
        <v>0</v>
      </c>
      <c r="I653" s="135">
        <f t="shared" si="750"/>
        <v>0</v>
      </c>
      <c r="J653" s="135">
        <f t="shared" ref="J653:P653" si="753">J548+J560+J572+J584+J599+J611+J623+J635</f>
        <v>0</v>
      </c>
      <c r="K653" s="135">
        <f t="shared" si="753"/>
        <v>0</v>
      </c>
      <c r="L653" s="135">
        <f t="shared" si="753"/>
        <v>0</v>
      </c>
      <c r="M653" s="135">
        <f t="shared" si="753"/>
        <v>0</v>
      </c>
      <c r="N653" s="135">
        <f t="shared" si="753"/>
        <v>0</v>
      </c>
      <c r="O653" s="135">
        <f t="shared" si="753"/>
        <v>0</v>
      </c>
      <c r="P653" s="135">
        <f t="shared" si="753"/>
        <v>0</v>
      </c>
    </row>
    <row r="654" spans="1:16" ht="12.75" customHeight="1" x14ac:dyDescent="0.25">
      <c r="B654" s="134"/>
      <c r="C654" s="108" t="s">
        <v>208</v>
      </c>
      <c r="D654" s="109"/>
      <c r="E654" s="135"/>
      <c r="F654" s="135">
        <f t="shared" si="750"/>
        <v>0</v>
      </c>
      <c r="G654" s="194">
        <f t="shared" si="750"/>
        <v>0</v>
      </c>
      <c r="H654" s="135">
        <f t="shared" si="750"/>
        <v>0</v>
      </c>
      <c r="I654" s="135">
        <f t="shared" si="750"/>
        <v>0</v>
      </c>
      <c r="J654" s="135">
        <f t="shared" ref="J654:P654" si="754">J549+J561+J573+J585+J600+J612+J624+J636</f>
        <v>0</v>
      </c>
      <c r="K654" s="135">
        <f t="shared" si="754"/>
        <v>0</v>
      </c>
      <c r="L654" s="135">
        <f t="shared" si="754"/>
        <v>0</v>
      </c>
      <c r="M654" s="135">
        <f t="shared" si="754"/>
        <v>0</v>
      </c>
      <c r="N654" s="135">
        <f t="shared" si="754"/>
        <v>0</v>
      </c>
      <c r="O654" s="135">
        <f t="shared" si="754"/>
        <v>0</v>
      </c>
      <c r="P654" s="135">
        <f t="shared" si="754"/>
        <v>0</v>
      </c>
    </row>
    <row r="655" spans="1:16" ht="12.75" customHeight="1" x14ac:dyDescent="0.25">
      <c r="B655" s="134"/>
      <c r="C655" s="108" t="s">
        <v>209</v>
      </c>
      <c r="D655" s="109"/>
      <c r="E655" s="135"/>
      <c r="F655" s="135">
        <f t="shared" si="750"/>
        <v>0</v>
      </c>
      <c r="G655" s="194">
        <f t="shared" si="750"/>
        <v>0</v>
      </c>
      <c r="H655" s="135">
        <f t="shared" si="750"/>
        <v>0</v>
      </c>
      <c r="I655" s="135">
        <f t="shared" si="750"/>
        <v>0</v>
      </c>
      <c r="J655" s="135">
        <f t="shared" ref="J655:P655" si="755">J550+J562+J574+J586+J601+J613+J625+J637</f>
        <v>0</v>
      </c>
      <c r="K655" s="135">
        <f t="shared" si="755"/>
        <v>0</v>
      </c>
      <c r="L655" s="135">
        <f t="shared" si="755"/>
        <v>0</v>
      </c>
      <c r="M655" s="135">
        <f t="shared" si="755"/>
        <v>0</v>
      </c>
      <c r="N655" s="135">
        <f t="shared" si="755"/>
        <v>0</v>
      </c>
      <c r="O655" s="135">
        <f t="shared" si="755"/>
        <v>0</v>
      </c>
      <c r="P655" s="135">
        <f t="shared" si="755"/>
        <v>0</v>
      </c>
    </row>
    <row r="656" spans="1:16" ht="12.75" customHeight="1" x14ac:dyDescent="0.25">
      <c r="B656" s="134"/>
      <c r="C656" s="108" t="s">
        <v>210</v>
      </c>
      <c r="D656" s="109"/>
      <c r="E656" s="135"/>
      <c r="F656" s="135">
        <f t="shared" si="750"/>
        <v>0</v>
      </c>
      <c r="G656" s="194">
        <f t="shared" si="750"/>
        <v>0</v>
      </c>
      <c r="H656" s="135">
        <f t="shared" si="750"/>
        <v>0</v>
      </c>
      <c r="I656" s="135">
        <f t="shared" si="750"/>
        <v>0</v>
      </c>
      <c r="J656" s="135">
        <f t="shared" ref="J656:P656" si="756">J551+J563+J575+J587+J602+J614+J626+J638</f>
        <v>0</v>
      </c>
      <c r="K656" s="135">
        <f t="shared" si="756"/>
        <v>0</v>
      </c>
      <c r="L656" s="135">
        <f t="shared" si="756"/>
        <v>0</v>
      </c>
      <c r="M656" s="135">
        <f t="shared" si="756"/>
        <v>0</v>
      </c>
      <c r="N656" s="135">
        <f t="shared" si="756"/>
        <v>0</v>
      </c>
      <c r="O656" s="135">
        <f t="shared" si="756"/>
        <v>0</v>
      </c>
      <c r="P656" s="135">
        <f t="shared" si="756"/>
        <v>0</v>
      </c>
    </row>
    <row r="657" spans="1:16" ht="12.75" customHeight="1" x14ac:dyDescent="0.25">
      <c r="B657" s="134"/>
      <c r="C657" s="108" t="s">
        <v>211</v>
      </c>
      <c r="D657" s="109"/>
      <c r="E657" s="135"/>
      <c r="F657" s="135">
        <f t="shared" si="750"/>
        <v>0</v>
      </c>
      <c r="G657" s="194">
        <f t="shared" si="750"/>
        <v>0</v>
      </c>
      <c r="H657" s="135">
        <f t="shared" si="750"/>
        <v>0</v>
      </c>
      <c r="I657" s="135">
        <f t="shared" si="750"/>
        <v>0</v>
      </c>
      <c r="J657" s="135">
        <f t="shared" ref="J657:P657" si="757">J552+J564+J576+J588+J603+J615+J627+J639</f>
        <v>0</v>
      </c>
      <c r="K657" s="135">
        <f t="shared" si="757"/>
        <v>0</v>
      </c>
      <c r="L657" s="135">
        <f t="shared" si="757"/>
        <v>0</v>
      </c>
      <c r="M657" s="135">
        <f t="shared" si="757"/>
        <v>0</v>
      </c>
      <c r="N657" s="135">
        <f t="shared" si="757"/>
        <v>0</v>
      </c>
      <c r="O657" s="135">
        <f t="shared" si="757"/>
        <v>0</v>
      </c>
      <c r="P657" s="135">
        <f t="shared" si="757"/>
        <v>0</v>
      </c>
    </row>
    <row r="658" spans="1:16" ht="12.75" customHeight="1" x14ac:dyDescent="0.25">
      <c r="B658" s="134"/>
      <c r="C658" s="108" t="s">
        <v>212</v>
      </c>
      <c r="D658" s="109"/>
      <c r="E658" s="135"/>
      <c r="F658" s="135">
        <f t="shared" ref="F658:I658" si="758">F553+F565+F577+F589+F604+F616+F628+F640</f>
        <v>0</v>
      </c>
      <c r="G658" s="194">
        <f t="shared" si="758"/>
        <v>0</v>
      </c>
      <c r="H658" s="135">
        <f t="shared" si="758"/>
        <v>0</v>
      </c>
      <c r="I658" s="135">
        <f t="shared" si="758"/>
        <v>0</v>
      </c>
      <c r="J658" s="135">
        <f t="shared" ref="J658:P658" si="759">J553+J565+J577+J589+J604+J616+J628+J640</f>
        <v>0</v>
      </c>
      <c r="K658" s="135">
        <f t="shared" si="759"/>
        <v>0</v>
      </c>
      <c r="L658" s="135">
        <f t="shared" si="759"/>
        <v>0</v>
      </c>
      <c r="M658" s="135">
        <f t="shared" si="759"/>
        <v>0</v>
      </c>
      <c r="N658" s="135">
        <f t="shared" si="759"/>
        <v>0</v>
      </c>
      <c r="O658" s="135">
        <f t="shared" si="759"/>
        <v>0</v>
      </c>
      <c r="P658" s="135">
        <f t="shared" si="759"/>
        <v>0</v>
      </c>
    </row>
    <row r="659" spans="1:16" ht="12.75" customHeight="1" x14ac:dyDescent="0.25">
      <c r="A659" s="73"/>
      <c r="B659" s="133"/>
      <c r="C659" s="136" t="s">
        <v>213</v>
      </c>
      <c r="D659" s="111"/>
      <c r="E659" s="132"/>
      <c r="F659" s="132">
        <f t="shared" ref="F659:I659" si="760">F554+F566+F578+F590+F605+F617+F629+F641</f>
        <v>0</v>
      </c>
      <c r="G659" s="195">
        <f t="shared" si="760"/>
        <v>0</v>
      </c>
      <c r="H659" s="132">
        <f t="shared" si="760"/>
        <v>0</v>
      </c>
      <c r="I659" s="132">
        <f t="shared" si="760"/>
        <v>0</v>
      </c>
      <c r="J659" s="132">
        <f t="shared" ref="J659:P659" si="761">J554+J566+J578+J590+J605+J617+J629+J641</f>
        <v>0</v>
      </c>
      <c r="K659" s="132">
        <f t="shared" si="761"/>
        <v>0</v>
      </c>
      <c r="L659" s="132">
        <f t="shared" si="761"/>
        <v>0</v>
      </c>
      <c r="M659" s="132">
        <f t="shared" si="761"/>
        <v>0</v>
      </c>
      <c r="N659" s="132">
        <f t="shared" si="761"/>
        <v>0</v>
      </c>
      <c r="O659" s="132">
        <f t="shared" si="761"/>
        <v>0</v>
      </c>
      <c r="P659" s="132">
        <f t="shared" si="761"/>
        <v>0</v>
      </c>
    </row>
    <row r="660" spans="1:16" ht="12.75" customHeight="1" x14ac:dyDescent="0.25">
      <c r="B660" s="134"/>
      <c r="C660" s="139" t="s">
        <v>256</v>
      </c>
      <c r="D660" s="143"/>
      <c r="E660" s="352"/>
      <c r="F660" s="352">
        <f t="shared" ref="F660:I660" si="762">SUM(F651:F659)</f>
        <v>0</v>
      </c>
      <c r="G660" s="353">
        <f t="shared" si="762"/>
        <v>0</v>
      </c>
      <c r="H660" s="352">
        <f t="shared" si="762"/>
        <v>0</v>
      </c>
      <c r="I660" s="352">
        <f t="shared" si="762"/>
        <v>0</v>
      </c>
      <c r="J660" s="352">
        <f t="shared" ref="J660:P660" si="763">SUM(J651:J659)</f>
        <v>0</v>
      </c>
      <c r="K660" s="352">
        <f t="shared" si="763"/>
        <v>0</v>
      </c>
      <c r="L660" s="352">
        <f t="shared" si="763"/>
        <v>0</v>
      </c>
      <c r="M660" s="352">
        <f t="shared" si="763"/>
        <v>0</v>
      </c>
      <c r="N660" s="352">
        <f t="shared" si="763"/>
        <v>0</v>
      </c>
      <c r="O660" s="352">
        <f t="shared" si="763"/>
        <v>0</v>
      </c>
      <c r="P660" s="352">
        <f t="shared" si="763"/>
        <v>0</v>
      </c>
    </row>
    <row r="661" spans="1:16" ht="12.75" customHeight="1" thickBot="1" x14ac:dyDescent="0.3">
      <c r="A661" s="75"/>
      <c r="B661" s="7"/>
      <c r="C661" s="7"/>
      <c r="D661" s="7"/>
      <c r="E661" s="7"/>
      <c r="F661" s="7"/>
      <c r="G661" s="152"/>
      <c r="H661" s="7"/>
      <c r="I661" s="7"/>
      <c r="J661" s="7"/>
      <c r="K661" s="7"/>
      <c r="L661" s="7"/>
      <c r="M661" s="7"/>
      <c r="N661" s="7"/>
      <c r="O661" s="7"/>
      <c r="P661" s="7"/>
    </row>
  </sheetData>
  <mergeCells count="5">
    <mergeCell ref="A5:D5"/>
    <mergeCell ref="A94:D94"/>
    <mergeCell ref="A314:D314"/>
    <mergeCell ref="A219:D219"/>
    <mergeCell ref="A130:D130"/>
  </mergeCells>
  <phoneticPr fontId="0" type="noConversion"/>
  <printOptions horizontalCentered="1" verticalCentered="1"/>
  <pageMargins left="0.5" right="0.5" top="0.4" bottom="0.4" header="0" footer="0"/>
  <pageSetup scale="98" fitToHeight="0" orientation="landscape" r:id="rId1"/>
  <headerFooter alignWithMargins="0"/>
  <rowBreaks count="2" manualBreakCount="2">
    <brk id="47" max="16383" man="1"/>
    <brk id="88"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indexed="53"/>
    <pageSetUpPr fitToPage="1"/>
  </sheetPr>
  <dimension ref="A1:S88"/>
  <sheetViews>
    <sheetView zoomScale="98" zoomScaleNormal="100" workbookViewId="0">
      <selection activeCell="B80" sqref="B80"/>
    </sheetView>
  </sheetViews>
  <sheetFormatPr defaultColWidth="9.109375" defaultRowHeight="12.75" customHeight="1" x14ac:dyDescent="0.25"/>
  <cols>
    <col min="1" max="1" width="11.6640625" style="74" customWidth="1"/>
    <col min="2" max="4" width="10.6640625" style="3" customWidth="1"/>
    <col min="5" max="16" width="12.6640625" style="3" customWidth="1"/>
    <col min="17" max="16384" width="9.109375" style="3"/>
  </cols>
  <sheetData>
    <row r="1" spans="1:16" ht="12.75" customHeight="1" x14ac:dyDescent="0.25">
      <c r="A1" s="29" t="s">
        <v>243</v>
      </c>
      <c r="B1" s="29"/>
      <c r="C1" s="29"/>
      <c r="D1" s="29"/>
      <c r="I1" s="4"/>
      <c r="J1" s="63"/>
      <c r="K1" s="63"/>
    </row>
    <row r="2" spans="1:16" ht="12.75" customHeight="1" x14ac:dyDescent="0.25">
      <c r="A2" s="29" t="s">
        <v>75</v>
      </c>
      <c r="B2" s="29"/>
      <c r="C2" s="29"/>
      <c r="D2" s="29"/>
      <c r="H2" s="4"/>
      <c r="I2" s="4"/>
      <c r="J2" s="4"/>
      <c r="K2" s="4"/>
    </row>
    <row r="3" spans="1:16" ht="12.75" customHeight="1" x14ac:dyDescent="0.25">
      <c r="A3" s="29" t="s">
        <v>57</v>
      </c>
      <c r="B3" s="29"/>
      <c r="C3" s="29"/>
      <c r="D3" s="29"/>
      <c r="H3" s="4"/>
      <c r="I3" s="4"/>
      <c r="J3" s="4"/>
      <c r="K3" s="4"/>
    </row>
    <row r="4" spans="1:16" ht="12.75" customHeight="1" thickBot="1" x14ac:dyDescent="0.3">
      <c r="A4" s="78" t="s">
        <v>428</v>
      </c>
      <c r="B4" s="21"/>
      <c r="C4" s="44"/>
      <c r="D4" s="44"/>
      <c r="E4" s="7"/>
      <c r="F4" s="7"/>
      <c r="G4" s="7"/>
      <c r="H4" s="7"/>
      <c r="I4" s="7"/>
      <c r="J4" s="7"/>
    </row>
    <row r="5" spans="1:16" ht="12.75" customHeight="1" x14ac:dyDescent="0.25">
      <c r="A5" s="646" t="s">
        <v>215</v>
      </c>
      <c r="B5" s="646"/>
      <c r="C5" s="646"/>
      <c r="D5" s="646"/>
      <c r="E5" s="215">
        <f>Sum!E$5</f>
        <v>2023</v>
      </c>
      <c r="F5" s="215">
        <f>Sum!F$5</f>
        <v>2024</v>
      </c>
      <c r="G5" s="216">
        <f>Sum!G$5</f>
        <v>2025</v>
      </c>
      <c r="H5" s="215">
        <f>Sum!H$5</f>
        <v>2026</v>
      </c>
      <c r="I5" s="215">
        <f>Sum!I$5</f>
        <v>2027</v>
      </c>
      <c r="J5" s="215">
        <f>Sum!J$5</f>
        <v>2028</v>
      </c>
      <c r="K5" s="281">
        <f>Sum!K$5</f>
        <v>2029</v>
      </c>
      <c r="L5" s="281">
        <f>Sum!L$5</f>
        <v>2030</v>
      </c>
      <c r="M5" s="281">
        <f>Sum!M$5</f>
        <v>2031</v>
      </c>
      <c r="N5" s="281">
        <f>Sum!N$5</f>
        <v>2032</v>
      </c>
      <c r="O5" s="281">
        <f>Sum!O$5</f>
        <v>2033</v>
      </c>
      <c r="P5" s="281">
        <f>Sum!P$5</f>
        <v>2034</v>
      </c>
    </row>
    <row r="6" spans="1:16" ht="12.75" customHeight="1" x14ac:dyDescent="0.25">
      <c r="G6" s="151"/>
    </row>
    <row r="7" spans="1:16" ht="12.75" customHeight="1" x14ac:dyDescent="0.25">
      <c r="A7" s="72" t="s">
        <v>76</v>
      </c>
      <c r="C7" s="72"/>
      <c r="D7" s="72"/>
      <c r="E7" s="25"/>
      <c r="F7" s="25"/>
      <c r="G7" s="181"/>
      <c r="H7" s="48"/>
      <c r="I7" s="48"/>
      <c r="J7" s="48"/>
      <c r="K7" s="48"/>
      <c r="L7" s="48"/>
      <c r="M7" s="48"/>
      <c r="N7" s="48"/>
      <c r="O7" s="48"/>
      <c r="P7" s="48"/>
    </row>
    <row r="8" spans="1:16" ht="12.75" customHeight="1" x14ac:dyDescent="0.25">
      <c r="A8" s="72" t="s">
        <v>191</v>
      </c>
      <c r="C8" s="72"/>
      <c r="D8" s="72"/>
      <c r="E8" s="48"/>
      <c r="F8" s="48"/>
      <c r="G8" s="181"/>
      <c r="H8" s="48"/>
      <c r="I8" s="48"/>
      <c r="J8" s="48"/>
      <c r="K8" s="48"/>
      <c r="L8" s="48"/>
      <c r="M8" s="48"/>
      <c r="N8" s="48"/>
      <c r="O8" s="48"/>
      <c r="P8" s="48"/>
    </row>
    <row r="9" spans="1:16" ht="12.75" customHeight="1" x14ac:dyDescent="0.25">
      <c r="B9" s="74" t="s">
        <v>223</v>
      </c>
      <c r="C9" s="74"/>
      <c r="D9" s="74"/>
      <c r="E9" s="607">
        <f>'Customer Data'!P31</f>
        <v>5270</v>
      </c>
      <c r="F9" s="25">
        <f t="shared" ref="F9:I11" si="0">E9*(1+F78)</f>
        <v>5270</v>
      </c>
      <c r="G9" s="182">
        <f t="shared" si="0"/>
        <v>5270</v>
      </c>
      <c r="H9" s="25">
        <f t="shared" si="0"/>
        <v>5270</v>
      </c>
      <c r="I9" s="25">
        <f t="shared" si="0"/>
        <v>5270</v>
      </c>
      <c r="J9" s="25">
        <f t="shared" ref="J9:J11" si="1">I9*(1+J78)</f>
        <v>5270</v>
      </c>
      <c r="K9" s="25">
        <f t="shared" ref="K9:K11" si="2">J9*(1+K78)</f>
        <v>5270</v>
      </c>
      <c r="L9" s="25">
        <f t="shared" ref="L9:L11" si="3">K9*(1+L78)</f>
        <v>5270</v>
      </c>
      <c r="M9" s="25">
        <f t="shared" ref="M9:M11" si="4">L9*(1+M78)</f>
        <v>5270</v>
      </c>
      <c r="N9" s="25">
        <f t="shared" ref="N9:N11" si="5">M9*(1+N78)</f>
        <v>5270</v>
      </c>
      <c r="O9" s="25">
        <f t="shared" ref="O9:O11" si="6">N9*(1+O78)</f>
        <v>5270</v>
      </c>
      <c r="P9" s="25">
        <f t="shared" ref="P9:P11" si="7">O9*(1+P78)</f>
        <v>5270</v>
      </c>
    </row>
    <row r="10" spans="1:16" ht="12.75" customHeight="1" x14ac:dyDescent="0.25">
      <c r="B10" s="74" t="s">
        <v>320</v>
      </c>
      <c r="C10" s="74"/>
      <c r="D10" s="74"/>
      <c r="E10" s="607">
        <f>'Customer Data'!P33</f>
        <v>1217.75</v>
      </c>
      <c r="F10" s="25">
        <f t="shared" si="0"/>
        <v>1217.75</v>
      </c>
      <c r="G10" s="182">
        <f t="shared" si="0"/>
        <v>1217.75</v>
      </c>
      <c r="H10" s="25">
        <f t="shared" si="0"/>
        <v>1217.75</v>
      </c>
      <c r="I10" s="25">
        <f t="shared" si="0"/>
        <v>1217.75</v>
      </c>
      <c r="J10" s="25">
        <f t="shared" si="1"/>
        <v>1217.75</v>
      </c>
      <c r="K10" s="25">
        <f t="shared" si="2"/>
        <v>1217.75</v>
      </c>
      <c r="L10" s="25">
        <f t="shared" si="3"/>
        <v>1217.75</v>
      </c>
      <c r="M10" s="25">
        <f t="shared" si="4"/>
        <v>1217.75</v>
      </c>
      <c r="N10" s="25">
        <f t="shared" si="5"/>
        <v>1217.75</v>
      </c>
      <c r="O10" s="25">
        <f t="shared" si="6"/>
        <v>1217.75</v>
      </c>
      <c r="P10" s="25">
        <f t="shared" si="7"/>
        <v>1217.75</v>
      </c>
    </row>
    <row r="11" spans="1:16" ht="12.75" customHeight="1" x14ac:dyDescent="0.25">
      <c r="B11" s="73" t="s">
        <v>299</v>
      </c>
      <c r="C11" s="73"/>
      <c r="D11" s="73"/>
      <c r="E11" s="608">
        <v>0</v>
      </c>
      <c r="F11" s="47">
        <f t="shared" si="0"/>
        <v>0</v>
      </c>
      <c r="G11" s="183">
        <f t="shared" si="0"/>
        <v>0</v>
      </c>
      <c r="H11" s="47">
        <f t="shared" si="0"/>
        <v>0</v>
      </c>
      <c r="I11" s="47">
        <f t="shared" si="0"/>
        <v>0</v>
      </c>
      <c r="J11" s="47">
        <f t="shared" si="1"/>
        <v>0</v>
      </c>
      <c r="K11" s="47">
        <f t="shared" si="2"/>
        <v>0</v>
      </c>
      <c r="L11" s="47">
        <f t="shared" si="3"/>
        <v>0</v>
      </c>
      <c r="M11" s="47">
        <f t="shared" si="4"/>
        <v>0</v>
      </c>
      <c r="N11" s="47">
        <f t="shared" si="5"/>
        <v>0</v>
      </c>
      <c r="O11" s="47">
        <f t="shared" si="6"/>
        <v>0</v>
      </c>
      <c r="P11" s="47">
        <f t="shared" si="7"/>
        <v>0</v>
      </c>
    </row>
    <row r="12" spans="1:16" ht="12.75" customHeight="1" x14ac:dyDescent="0.25">
      <c r="B12" s="74" t="s">
        <v>178</v>
      </c>
      <c r="C12" s="74"/>
      <c r="D12" s="74"/>
      <c r="E12" s="25">
        <f t="shared" ref="E12:I12" si="8">SUM(E9:E11)</f>
        <v>6487.75</v>
      </c>
      <c r="F12" s="25">
        <f t="shared" si="8"/>
        <v>6487.75</v>
      </c>
      <c r="G12" s="182">
        <f t="shared" si="8"/>
        <v>6487.75</v>
      </c>
      <c r="H12" s="25">
        <f t="shared" si="8"/>
        <v>6487.75</v>
      </c>
      <c r="I12" s="25">
        <f t="shared" si="8"/>
        <v>6487.75</v>
      </c>
      <c r="J12" s="25">
        <f t="shared" ref="J12:P12" si="9">SUM(J9:J11)</f>
        <v>6487.75</v>
      </c>
      <c r="K12" s="25">
        <f t="shared" si="9"/>
        <v>6487.75</v>
      </c>
      <c r="L12" s="25">
        <f t="shared" si="9"/>
        <v>6487.75</v>
      </c>
      <c r="M12" s="25">
        <f t="shared" si="9"/>
        <v>6487.75</v>
      </c>
      <c r="N12" s="25">
        <f t="shared" si="9"/>
        <v>6487.75</v>
      </c>
      <c r="O12" s="25">
        <f t="shared" si="9"/>
        <v>6487.75</v>
      </c>
      <c r="P12" s="25">
        <f t="shared" si="9"/>
        <v>6487.75</v>
      </c>
    </row>
    <row r="13" spans="1:16" ht="12.75" customHeight="1" x14ac:dyDescent="0.25">
      <c r="B13" s="74"/>
      <c r="C13" s="74"/>
      <c r="D13" s="74"/>
      <c r="E13" s="25"/>
      <c r="F13" s="25"/>
      <c r="G13" s="182"/>
      <c r="H13" s="25"/>
      <c r="I13" s="25"/>
      <c r="J13" s="25"/>
      <c r="K13" s="25"/>
      <c r="L13" s="25"/>
      <c r="M13" s="25"/>
      <c r="N13" s="25"/>
      <c r="O13" s="25"/>
      <c r="P13" s="25"/>
    </row>
    <row r="14" spans="1:16" ht="12.75" customHeight="1" x14ac:dyDescent="0.25">
      <c r="A14" s="72" t="s">
        <v>0</v>
      </c>
      <c r="C14" s="74"/>
      <c r="D14" s="74"/>
      <c r="E14" s="25"/>
      <c r="F14" s="25"/>
      <c r="G14" s="182"/>
      <c r="H14" s="25"/>
      <c r="I14" s="25"/>
      <c r="J14" s="25"/>
      <c r="K14" s="25"/>
      <c r="L14" s="25"/>
      <c r="M14" s="25"/>
      <c r="N14" s="25"/>
      <c r="O14" s="25"/>
      <c r="P14" s="25"/>
    </row>
    <row r="15" spans="1:16" ht="12.75" customHeight="1" x14ac:dyDescent="0.25">
      <c r="A15" s="72"/>
      <c r="B15" s="74" t="s">
        <v>223</v>
      </c>
      <c r="C15" s="74"/>
      <c r="D15" s="74"/>
      <c r="E15" s="607">
        <f>'Customer Data'!P32+'Customer Data'!P35</f>
        <v>354.5</v>
      </c>
      <c r="F15" s="25">
        <f t="shared" ref="F15:I17" si="10">E15*(1+F84)</f>
        <v>354.5</v>
      </c>
      <c r="G15" s="182">
        <f t="shared" si="10"/>
        <v>354.5</v>
      </c>
      <c r="H15" s="25">
        <f t="shared" si="10"/>
        <v>354.5</v>
      </c>
      <c r="I15" s="25">
        <f t="shared" si="10"/>
        <v>354.5</v>
      </c>
      <c r="J15" s="25">
        <f t="shared" ref="J15:J17" si="11">I15*(1+J84)</f>
        <v>354.5</v>
      </c>
      <c r="K15" s="25">
        <f t="shared" ref="K15:K17" si="12">J15*(1+K84)</f>
        <v>354.5</v>
      </c>
      <c r="L15" s="25">
        <f t="shared" ref="L15:L17" si="13">K15*(1+L84)</f>
        <v>354.5</v>
      </c>
      <c r="M15" s="25">
        <f t="shared" ref="M15:M17" si="14">L15*(1+M84)</f>
        <v>354.5</v>
      </c>
      <c r="N15" s="25">
        <f t="shared" ref="N15:N17" si="15">M15*(1+N84)</f>
        <v>354.5</v>
      </c>
      <c r="O15" s="25">
        <f t="shared" ref="O15:O17" si="16">N15*(1+O84)</f>
        <v>354.5</v>
      </c>
      <c r="P15" s="25">
        <f t="shared" ref="P15:P17" si="17">O15*(1+P84)</f>
        <v>354.5</v>
      </c>
    </row>
    <row r="16" spans="1:16" ht="12.75" customHeight="1" x14ac:dyDescent="0.25">
      <c r="A16" s="72"/>
      <c r="B16" s="74" t="s">
        <v>320</v>
      </c>
      <c r="C16" s="74"/>
      <c r="D16" s="74"/>
      <c r="E16" s="607">
        <f>'Customer Data'!P34</f>
        <v>1</v>
      </c>
      <c r="F16" s="25">
        <f t="shared" si="10"/>
        <v>1</v>
      </c>
      <c r="G16" s="182">
        <f t="shared" si="10"/>
        <v>1</v>
      </c>
      <c r="H16" s="25">
        <f t="shared" si="10"/>
        <v>1</v>
      </c>
      <c r="I16" s="25">
        <f t="shared" si="10"/>
        <v>1</v>
      </c>
      <c r="J16" s="25">
        <f t="shared" si="11"/>
        <v>1</v>
      </c>
      <c r="K16" s="25">
        <f t="shared" si="12"/>
        <v>1</v>
      </c>
      <c r="L16" s="25">
        <f t="shared" si="13"/>
        <v>1</v>
      </c>
      <c r="M16" s="25">
        <f t="shared" si="14"/>
        <v>1</v>
      </c>
      <c r="N16" s="25">
        <f t="shared" si="15"/>
        <v>1</v>
      </c>
      <c r="O16" s="25">
        <f t="shared" si="16"/>
        <v>1</v>
      </c>
      <c r="P16" s="25">
        <f t="shared" si="17"/>
        <v>1</v>
      </c>
    </row>
    <row r="17" spans="1:16" ht="12.75" customHeight="1" x14ac:dyDescent="0.25">
      <c r="B17" s="73" t="s">
        <v>299</v>
      </c>
      <c r="C17" s="73"/>
      <c r="D17" s="73"/>
      <c r="E17" s="608">
        <v>0</v>
      </c>
      <c r="F17" s="47">
        <f t="shared" si="10"/>
        <v>0</v>
      </c>
      <c r="G17" s="183">
        <f t="shared" si="10"/>
        <v>0</v>
      </c>
      <c r="H17" s="47">
        <f t="shared" si="10"/>
        <v>0</v>
      </c>
      <c r="I17" s="47">
        <f t="shared" si="10"/>
        <v>0</v>
      </c>
      <c r="J17" s="47">
        <f t="shared" si="11"/>
        <v>0</v>
      </c>
      <c r="K17" s="47">
        <f t="shared" si="12"/>
        <v>0</v>
      </c>
      <c r="L17" s="47">
        <f t="shared" si="13"/>
        <v>0</v>
      </c>
      <c r="M17" s="47">
        <f t="shared" si="14"/>
        <v>0</v>
      </c>
      <c r="N17" s="47">
        <f t="shared" si="15"/>
        <v>0</v>
      </c>
      <c r="O17" s="47">
        <f t="shared" si="16"/>
        <v>0</v>
      </c>
      <c r="P17" s="47">
        <f t="shared" si="17"/>
        <v>0</v>
      </c>
    </row>
    <row r="18" spans="1:16" ht="12.75" customHeight="1" x14ac:dyDescent="0.25">
      <c r="B18" s="102" t="s">
        <v>192</v>
      </c>
      <c r="C18" s="102"/>
      <c r="D18" s="102"/>
      <c r="E18" s="150">
        <f t="shared" ref="E18:I18" si="18">SUM(E15:E17)</f>
        <v>355.5</v>
      </c>
      <c r="F18" s="150">
        <f t="shared" si="18"/>
        <v>355.5</v>
      </c>
      <c r="G18" s="184">
        <f t="shared" si="18"/>
        <v>355.5</v>
      </c>
      <c r="H18" s="150">
        <f t="shared" si="18"/>
        <v>355.5</v>
      </c>
      <c r="I18" s="150">
        <f t="shared" si="18"/>
        <v>355.5</v>
      </c>
      <c r="J18" s="150">
        <f t="shared" ref="J18:P18" si="19">SUM(J15:J17)</f>
        <v>355.5</v>
      </c>
      <c r="K18" s="150">
        <f t="shared" si="19"/>
        <v>355.5</v>
      </c>
      <c r="L18" s="150">
        <f t="shared" si="19"/>
        <v>355.5</v>
      </c>
      <c r="M18" s="150">
        <f t="shared" si="19"/>
        <v>355.5</v>
      </c>
      <c r="N18" s="150">
        <f t="shared" si="19"/>
        <v>355.5</v>
      </c>
      <c r="O18" s="150">
        <f t="shared" si="19"/>
        <v>355.5</v>
      </c>
      <c r="P18" s="150">
        <f t="shared" si="19"/>
        <v>355.5</v>
      </c>
    </row>
    <row r="19" spans="1:16" ht="12.75" customHeight="1" thickBot="1" x14ac:dyDescent="0.3">
      <c r="B19" s="106"/>
      <c r="C19" s="106"/>
      <c r="D19" s="106"/>
      <c r="E19" s="57"/>
      <c r="F19" s="57"/>
      <c r="G19" s="192"/>
      <c r="H19" s="57"/>
      <c r="I19" s="57"/>
      <c r="J19" s="57"/>
      <c r="K19" s="57"/>
      <c r="L19" s="57"/>
      <c r="M19" s="57"/>
      <c r="N19" s="57"/>
      <c r="O19" s="57"/>
      <c r="P19" s="57"/>
    </row>
    <row r="20" spans="1:16" ht="12.75" customHeight="1" thickTop="1" x14ac:dyDescent="0.25">
      <c r="A20" s="72"/>
      <c r="B20" s="72" t="s">
        <v>66</v>
      </c>
      <c r="C20" s="74"/>
      <c r="D20" s="74"/>
      <c r="E20" s="25">
        <f t="shared" ref="E20:I20" si="20">E12+E18</f>
        <v>6843.25</v>
      </c>
      <c r="F20" s="25">
        <f t="shared" si="20"/>
        <v>6843.25</v>
      </c>
      <c r="G20" s="182">
        <f t="shared" si="20"/>
        <v>6843.25</v>
      </c>
      <c r="H20" s="25">
        <f t="shared" si="20"/>
        <v>6843.25</v>
      </c>
      <c r="I20" s="25">
        <f t="shared" si="20"/>
        <v>6843.25</v>
      </c>
      <c r="J20" s="25">
        <f t="shared" ref="J20:P20" si="21">J12+J18</f>
        <v>6843.25</v>
      </c>
      <c r="K20" s="25">
        <f t="shared" si="21"/>
        <v>6843.25</v>
      </c>
      <c r="L20" s="25">
        <f t="shared" si="21"/>
        <v>6843.25</v>
      </c>
      <c r="M20" s="25">
        <f t="shared" si="21"/>
        <v>6843.25</v>
      </c>
      <c r="N20" s="25">
        <f t="shared" si="21"/>
        <v>6843.25</v>
      </c>
      <c r="O20" s="25">
        <f t="shared" si="21"/>
        <v>6843.25</v>
      </c>
      <c r="P20" s="25">
        <f t="shared" si="21"/>
        <v>6843.25</v>
      </c>
    </row>
    <row r="21" spans="1:16" ht="12.75" customHeight="1" x14ac:dyDescent="0.25">
      <c r="B21" s="74"/>
      <c r="C21" s="74"/>
      <c r="D21" s="74"/>
      <c r="E21" s="45"/>
      <c r="F21" s="45"/>
      <c r="G21" s="230"/>
      <c r="H21" s="45"/>
      <c r="I21" s="45"/>
      <c r="J21" s="45"/>
      <c r="K21" s="45"/>
      <c r="L21" s="45"/>
      <c r="M21" s="45"/>
      <c r="N21" s="45"/>
      <c r="O21" s="45"/>
      <c r="P21" s="45"/>
    </row>
    <row r="22" spans="1:16" ht="12.75" customHeight="1" x14ac:dyDescent="0.25">
      <c r="A22" s="72" t="s">
        <v>77</v>
      </c>
      <c r="C22" s="72"/>
      <c r="D22" s="72"/>
      <c r="E22" s="48"/>
      <c r="F22" s="48"/>
      <c r="G22" s="181"/>
      <c r="H22" s="210"/>
      <c r="I22" s="210"/>
      <c r="J22" s="210"/>
      <c r="K22" s="210"/>
      <c r="L22" s="210"/>
      <c r="M22" s="210"/>
      <c r="N22" s="210"/>
      <c r="O22" s="210"/>
      <c r="P22" s="210"/>
    </row>
    <row r="23" spans="1:16" ht="12.75" customHeight="1" x14ac:dyDescent="0.25">
      <c r="A23" s="72" t="s">
        <v>191</v>
      </c>
      <c r="C23" s="72"/>
      <c r="D23" s="72"/>
      <c r="E23" s="48"/>
      <c r="F23" s="48"/>
      <c r="G23" s="181"/>
      <c r="H23" s="48"/>
      <c r="I23" s="48"/>
      <c r="J23" s="48"/>
      <c r="K23" s="48"/>
      <c r="L23" s="48"/>
      <c r="M23" s="48"/>
      <c r="N23" s="48"/>
      <c r="O23" s="48"/>
      <c r="P23" s="48"/>
    </row>
    <row r="24" spans="1:16" ht="12.75" customHeight="1" x14ac:dyDescent="0.25">
      <c r="B24" s="74" t="s">
        <v>223</v>
      </c>
      <c r="C24" s="74"/>
      <c r="D24" s="74"/>
      <c r="E24" s="25"/>
      <c r="F24" s="25">
        <f t="shared" ref="F24:I26" si="22">F9-E9</f>
        <v>0</v>
      </c>
      <c r="G24" s="182">
        <f t="shared" si="22"/>
        <v>0</v>
      </c>
      <c r="H24" s="25">
        <f t="shared" si="22"/>
        <v>0</v>
      </c>
      <c r="I24" s="25">
        <f t="shared" si="22"/>
        <v>0</v>
      </c>
      <c r="J24" s="25">
        <f t="shared" ref="J24:J26" si="23">J9-I9</f>
        <v>0</v>
      </c>
      <c r="K24" s="25">
        <f t="shared" ref="K24:K26" si="24">K9-J9</f>
        <v>0</v>
      </c>
      <c r="L24" s="25">
        <f t="shared" ref="L24:L26" si="25">L9-K9</f>
        <v>0</v>
      </c>
      <c r="M24" s="25">
        <f t="shared" ref="M24:M26" si="26">M9-L9</f>
        <v>0</v>
      </c>
      <c r="N24" s="25">
        <f t="shared" ref="N24:N26" si="27">N9-M9</f>
        <v>0</v>
      </c>
      <c r="O24" s="25">
        <f t="shared" ref="O24:O26" si="28">O9-N9</f>
        <v>0</v>
      </c>
      <c r="P24" s="25">
        <f t="shared" ref="P24:P26" si="29">P9-O9</f>
        <v>0</v>
      </c>
    </row>
    <row r="25" spans="1:16" ht="12.75" customHeight="1" x14ac:dyDescent="0.25">
      <c r="B25" s="74" t="s">
        <v>320</v>
      </c>
      <c r="C25" s="74"/>
      <c r="D25" s="74"/>
      <c r="E25" s="25"/>
      <c r="F25" s="25">
        <f t="shared" si="22"/>
        <v>0</v>
      </c>
      <c r="G25" s="182">
        <f t="shared" si="22"/>
        <v>0</v>
      </c>
      <c r="H25" s="25">
        <f t="shared" si="22"/>
        <v>0</v>
      </c>
      <c r="I25" s="25">
        <f t="shared" si="22"/>
        <v>0</v>
      </c>
      <c r="J25" s="25">
        <f t="shared" si="23"/>
        <v>0</v>
      </c>
      <c r="K25" s="25">
        <f t="shared" si="24"/>
        <v>0</v>
      </c>
      <c r="L25" s="25">
        <f t="shared" si="25"/>
        <v>0</v>
      </c>
      <c r="M25" s="25">
        <f t="shared" si="26"/>
        <v>0</v>
      </c>
      <c r="N25" s="25">
        <f t="shared" si="27"/>
        <v>0</v>
      </c>
      <c r="O25" s="25">
        <f t="shared" si="28"/>
        <v>0</v>
      </c>
      <c r="P25" s="25">
        <f t="shared" si="29"/>
        <v>0</v>
      </c>
    </row>
    <row r="26" spans="1:16" ht="12.75" customHeight="1" x14ac:dyDescent="0.25">
      <c r="B26" s="73" t="s">
        <v>299</v>
      </c>
      <c r="C26" s="73"/>
      <c r="D26" s="73"/>
      <c r="E26" s="47"/>
      <c r="F26" s="47">
        <f t="shared" si="22"/>
        <v>0</v>
      </c>
      <c r="G26" s="183">
        <f t="shared" si="22"/>
        <v>0</v>
      </c>
      <c r="H26" s="47">
        <f t="shared" si="22"/>
        <v>0</v>
      </c>
      <c r="I26" s="47">
        <f t="shared" si="22"/>
        <v>0</v>
      </c>
      <c r="J26" s="47">
        <f t="shared" si="23"/>
        <v>0</v>
      </c>
      <c r="K26" s="47">
        <f t="shared" si="24"/>
        <v>0</v>
      </c>
      <c r="L26" s="47">
        <f t="shared" si="25"/>
        <v>0</v>
      </c>
      <c r="M26" s="47">
        <f t="shared" si="26"/>
        <v>0</v>
      </c>
      <c r="N26" s="47">
        <f t="shared" si="27"/>
        <v>0</v>
      </c>
      <c r="O26" s="47">
        <f t="shared" si="28"/>
        <v>0</v>
      </c>
      <c r="P26" s="47">
        <f t="shared" si="29"/>
        <v>0</v>
      </c>
    </row>
    <row r="27" spans="1:16" ht="12.75" customHeight="1" x14ac:dyDescent="0.25">
      <c r="B27" s="74" t="s">
        <v>178</v>
      </c>
      <c r="C27" s="74"/>
      <c r="D27" s="74"/>
      <c r="E27" s="25">
        <f t="shared" ref="E27:I27" si="30">SUM(E24:E25)</f>
        <v>0</v>
      </c>
      <c r="F27" s="25">
        <f t="shared" si="30"/>
        <v>0</v>
      </c>
      <c r="G27" s="182">
        <f t="shared" si="30"/>
        <v>0</v>
      </c>
      <c r="H27" s="25">
        <f t="shared" si="30"/>
        <v>0</v>
      </c>
      <c r="I27" s="25">
        <f t="shared" si="30"/>
        <v>0</v>
      </c>
      <c r="J27" s="25">
        <f t="shared" ref="J27:P27" si="31">SUM(J24:J25)</f>
        <v>0</v>
      </c>
      <c r="K27" s="25">
        <f t="shared" si="31"/>
        <v>0</v>
      </c>
      <c r="L27" s="25">
        <f t="shared" si="31"/>
        <v>0</v>
      </c>
      <c r="M27" s="25">
        <f t="shared" si="31"/>
        <v>0</v>
      </c>
      <c r="N27" s="25">
        <f t="shared" si="31"/>
        <v>0</v>
      </c>
      <c r="O27" s="25">
        <f t="shared" si="31"/>
        <v>0</v>
      </c>
      <c r="P27" s="25">
        <f t="shared" si="31"/>
        <v>0</v>
      </c>
    </row>
    <row r="28" spans="1:16" ht="12.75" customHeight="1" x14ac:dyDescent="0.25">
      <c r="B28" s="74"/>
      <c r="C28" s="74"/>
      <c r="D28" s="74"/>
      <c r="E28" s="25"/>
      <c r="F28" s="25"/>
      <c r="G28" s="182"/>
      <c r="H28" s="25"/>
      <c r="I28" s="25"/>
      <c r="J28" s="25"/>
      <c r="K28" s="25"/>
      <c r="L28" s="25"/>
      <c r="M28" s="25"/>
      <c r="N28" s="25"/>
      <c r="O28" s="25"/>
      <c r="P28" s="25"/>
    </row>
    <row r="29" spans="1:16" ht="12.75" customHeight="1" x14ac:dyDescent="0.25">
      <c r="A29" s="72" t="s">
        <v>0</v>
      </c>
      <c r="C29" s="74"/>
      <c r="D29" s="74"/>
      <c r="E29" s="25"/>
      <c r="F29" s="25"/>
      <c r="G29" s="182"/>
      <c r="H29" s="25"/>
      <c r="I29" s="25"/>
      <c r="J29" s="25"/>
      <c r="K29" s="25"/>
      <c r="L29" s="25"/>
      <c r="M29" s="25"/>
      <c r="N29" s="25"/>
      <c r="O29" s="25"/>
      <c r="P29" s="25"/>
    </row>
    <row r="30" spans="1:16" ht="12.75" customHeight="1" x14ac:dyDescent="0.25">
      <c r="A30" s="72"/>
      <c r="B30" s="74" t="s">
        <v>223</v>
      </c>
      <c r="C30" s="74"/>
      <c r="D30" s="74"/>
      <c r="E30" s="25"/>
      <c r="F30" s="25">
        <f t="shared" ref="F30:I32" si="32">F15-E15</f>
        <v>0</v>
      </c>
      <c r="G30" s="182">
        <f t="shared" si="32"/>
        <v>0</v>
      </c>
      <c r="H30" s="25">
        <f t="shared" si="32"/>
        <v>0</v>
      </c>
      <c r="I30" s="25">
        <f t="shared" si="32"/>
        <v>0</v>
      </c>
      <c r="J30" s="25">
        <f t="shared" ref="J30:J32" si="33">J15-I15</f>
        <v>0</v>
      </c>
      <c r="K30" s="25">
        <f t="shared" ref="K30:K32" si="34">K15-J15</f>
        <v>0</v>
      </c>
      <c r="L30" s="25">
        <f t="shared" ref="L30:L32" si="35">L15-K15</f>
        <v>0</v>
      </c>
      <c r="M30" s="25">
        <f t="shared" ref="M30:M32" si="36">M15-L15</f>
        <v>0</v>
      </c>
      <c r="N30" s="25">
        <f t="shared" ref="N30:N32" si="37">N15-M15</f>
        <v>0</v>
      </c>
      <c r="O30" s="25">
        <f t="shared" ref="O30:O32" si="38">O15-N15</f>
        <v>0</v>
      </c>
      <c r="P30" s="25">
        <f t="shared" ref="P30:P32" si="39">P15-O15</f>
        <v>0</v>
      </c>
    </row>
    <row r="31" spans="1:16" ht="12.75" customHeight="1" x14ac:dyDescent="0.25">
      <c r="A31" s="72"/>
      <c r="B31" s="74" t="s">
        <v>320</v>
      </c>
      <c r="C31" s="74"/>
      <c r="D31" s="74"/>
      <c r="E31" s="25"/>
      <c r="F31" s="25">
        <f t="shared" si="32"/>
        <v>0</v>
      </c>
      <c r="G31" s="182">
        <f t="shared" si="32"/>
        <v>0</v>
      </c>
      <c r="H31" s="25">
        <f t="shared" si="32"/>
        <v>0</v>
      </c>
      <c r="I31" s="25">
        <f t="shared" si="32"/>
        <v>0</v>
      </c>
      <c r="J31" s="25">
        <f t="shared" si="33"/>
        <v>0</v>
      </c>
      <c r="K31" s="25">
        <f t="shared" si="34"/>
        <v>0</v>
      </c>
      <c r="L31" s="25">
        <f t="shared" si="35"/>
        <v>0</v>
      </c>
      <c r="M31" s="25">
        <f t="shared" si="36"/>
        <v>0</v>
      </c>
      <c r="N31" s="25">
        <f t="shared" si="37"/>
        <v>0</v>
      </c>
      <c r="O31" s="25">
        <f t="shared" si="38"/>
        <v>0</v>
      </c>
      <c r="P31" s="25">
        <f t="shared" si="39"/>
        <v>0</v>
      </c>
    </row>
    <row r="32" spans="1:16" ht="12.75" customHeight="1" x14ac:dyDescent="0.25">
      <c r="B32" s="73" t="s">
        <v>299</v>
      </c>
      <c r="C32" s="73"/>
      <c r="D32" s="73"/>
      <c r="E32" s="47"/>
      <c r="F32" s="47">
        <f t="shared" si="32"/>
        <v>0</v>
      </c>
      <c r="G32" s="183">
        <f t="shared" si="32"/>
        <v>0</v>
      </c>
      <c r="H32" s="47">
        <f t="shared" si="32"/>
        <v>0</v>
      </c>
      <c r="I32" s="47">
        <f t="shared" si="32"/>
        <v>0</v>
      </c>
      <c r="J32" s="47">
        <f t="shared" si="33"/>
        <v>0</v>
      </c>
      <c r="K32" s="47">
        <f t="shared" si="34"/>
        <v>0</v>
      </c>
      <c r="L32" s="47">
        <f t="shared" si="35"/>
        <v>0</v>
      </c>
      <c r="M32" s="47">
        <f t="shared" si="36"/>
        <v>0</v>
      </c>
      <c r="N32" s="47">
        <f t="shared" si="37"/>
        <v>0</v>
      </c>
      <c r="O32" s="47">
        <f t="shared" si="38"/>
        <v>0</v>
      </c>
      <c r="P32" s="47">
        <f t="shared" si="39"/>
        <v>0</v>
      </c>
    </row>
    <row r="33" spans="1:17" ht="12.75" customHeight="1" x14ac:dyDescent="0.25">
      <c r="B33" s="102" t="s">
        <v>192</v>
      </c>
      <c r="C33" s="102"/>
      <c r="D33" s="102"/>
      <c r="E33" s="150">
        <f t="shared" ref="E33:I33" si="40">SUM(E30:E31)</f>
        <v>0</v>
      </c>
      <c r="F33" s="150">
        <f t="shared" si="40"/>
        <v>0</v>
      </c>
      <c r="G33" s="184">
        <f t="shared" si="40"/>
        <v>0</v>
      </c>
      <c r="H33" s="150">
        <f t="shared" si="40"/>
        <v>0</v>
      </c>
      <c r="I33" s="150">
        <f t="shared" si="40"/>
        <v>0</v>
      </c>
      <c r="J33" s="150">
        <f t="shared" ref="J33:P33" si="41">SUM(J30:J31)</f>
        <v>0</v>
      </c>
      <c r="K33" s="150">
        <f t="shared" si="41"/>
        <v>0</v>
      </c>
      <c r="L33" s="150">
        <f t="shared" si="41"/>
        <v>0</v>
      </c>
      <c r="M33" s="150">
        <f t="shared" si="41"/>
        <v>0</v>
      </c>
      <c r="N33" s="150">
        <f t="shared" si="41"/>
        <v>0</v>
      </c>
      <c r="O33" s="150">
        <f t="shared" si="41"/>
        <v>0</v>
      </c>
      <c r="P33" s="150">
        <f t="shared" si="41"/>
        <v>0</v>
      </c>
    </row>
    <row r="34" spans="1:17" ht="12.75" customHeight="1" thickBot="1" x14ac:dyDescent="0.3">
      <c r="B34" s="106"/>
      <c r="C34" s="106"/>
      <c r="D34" s="106"/>
      <c r="E34" s="57"/>
      <c r="F34" s="57"/>
      <c r="G34" s="192"/>
      <c r="H34" s="57"/>
      <c r="I34" s="57"/>
      <c r="J34" s="57"/>
      <c r="K34" s="57"/>
      <c r="L34" s="57"/>
      <c r="M34" s="57"/>
      <c r="N34" s="57"/>
      <c r="O34" s="57"/>
      <c r="P34" s="57"/>
    </row>
    <row r="35" spans="1:17" ht="12.75" customHeight="1" thickTop="1" x14ac:dyDescent="0.25">
      <c r="A35" s="72"/>
      <c r="B35" s="72" t="s">
        <v>65</v>
      </c>
      <c r="C35" s="74"/>
      <c r="D35" s="74"/>
      <c r="E35" s="25">
        <f t="shared" ref="E35:I35" si="42">E27+E33</f>
        <v>0</v>
      </c>
      <c r="F35" s="25">
        <f t="shared" si="42"/>
        <v>0</v>
      </c>
      <c r="G35" s="182">
        <f t="shared" si="42"/>
        <v>0</v>
      </c>
      <c r="H35" s="25">
        <f t="shared" si="42"/>
        <v>0</v>
      </c>
      <c r="I35" s="25">
        <f t="shared" si="42"/>
        <v>0</v>
      </c>
      <c r="J35" s="25">
        <f t="shared" ref="J35:P35" si="43">J27+J33</f>
        <v>0</v>
      </c>
      <c r="K35" s="25">
        <f t="shared" si="43"/>
        <v>0</v>
      </c>
      <c r="L35" s="25">
        <f t="shared" si="43"/>
        <v>0</v>
      </c>
      <c r="M35" s="25">
        <f t="shared" si="43"/>
        <v>0</v>
      </c>
      <c r="N35" s="25">
        <f t="shared" si="43"/>
        <v>0</v>
      </c>
      <c r="O35" s="25">
        <f t="shared" si="43"/>
        <v>0</v>
      </c>
      <c r="P35" s="25">
        <f t="shared" si="43"/>
        <v>0</v>
      </c>
    </row>
    <row r="36" spans="1:17" ht="12.75" customHeight="1" x14ac:dyDescent="0.25">
      <c r="B36" s="74"/>
      <c r="C36" s="74"/>
      <c r="D36" s="74"/>
      <c r="E36" s="45"/>
      <c r="F36" s="45"/>
      <c r="G36" s="158"/>
      <c r="H36" s="45"/>
      <c r="I36" s="45"/>
      <c r="J36" s="45"/>
      <c r="K36" s="45"/>
      <c r="L36" s="45"/>
      <c r="M36" s="45"/>
      <c r="N36" s="45"/>
      <c r="O36" s="45"/>
      <c r="P36" s="45"/>
    </row>
    <row r="37" spans="1:17" ht="12.75" customHeight="1" x14ac:dyDescent="0.25">
      <c r="A37" s="72" t="s">
        <v>78</v>
      </c>
      <c r="C37" s="72"/>
      <c r="D37" s="72"/>
      <c r="E37" s="45"/>
      <c r="F37" s="45"/>
      <c r="G37" s="158"/>
      <c r="H37" s="45"/>
      <c r="I37" s="45"/>
      <c r="J37" s="45"/>
      <c r="K37" s="45"/>
      <c r="L37" s="45"/>
      <c r="M37" s="45"/>
      <c r="N37" s="45"/>
      <c r="O37" s="45"/>
      <c r="P37" s="45"/>
    </row>
    <row r="38" spans="1:17" ht="12.75" customHeight="1" x14ac:dyDescent="0.25">
      <c r="A38" s="72" t="s">
        <v>191</v>
      </c>
      <c r="C38" s="72"/>
      <c r="D38" s="72"/>
      <c r="E38" s="45"/>
      <c r="F38" s="45"/>
      <c r="G38" s="158"/>
      <c r="H38" s="45"/>
      <c r="I38" s="45"/>
      <c r="J38" s="45"/>
      <c r="K38" s="45"/>
      <c r="L38" s="45"/>
      <c r="M38" s="45"/>
      <c r="N38" s="45"/>
      <c r="O38" s="45"/>
      <c r="P38" s="45"/>
    </row>
    <row r="39" spans="1:17" ht="12.75" customHeight="1" x14ac:dyDescent="0.25">
      <c r="B39" s="74" t="s">
        <v>223</v>
      </c>
      <c r="C39" s="74"/>
      <c r="D39" s="74"/>
      <c r="E39" s="433">
        <f>(E54*1000000)/E9/12</f>
        <v>3904.9724857685001</v>
      </c>
      <c r="F39" s="25">
        <f t="shared" ref="F39:G40" si="44">E39</f>
        <v>3904.9724857685001</v>
      </c>
      <c r="G39" s="182">
        <f t="shared" si="44"/>
        <v>3904.9724857685001</v>
      </c>
      <c r="H39" s="25">
        <f>G39*(1+'W-Dem'!H113)</f>
        <v>3904.9724857685001</v>
      </c>
      <c r="I39" s="25">
        <f>H39*(1+'W-Dem'!I113)</f>
        <v>3904.9724857685001</v>
      </c>
      <c r="J39" s="25">
        <f>I39*(1+'W-Dem'!J113)</f>
        <v>3904.9724857685001</v>
      </c>
      <c r="K39" s="25">
        <f>J39*(1+'W-Dem'!K113)</f>
        <v>3904.9724857685001</v>
      </c>
      <c r="L39" s="25">
        <f>K39*(1+'W-Dem'!L113)</f>
        <v>3904.9724857685001</v>
      </c>
      <c r="M39" s="25">
        <f>L39*(1+'W-Dem'!M113)</f>
        <v>3904.9724857685001</v>
      </c>
      <c r="N39" s="25">
        <f>M39*(1+'W-Dem'!N113)</f>
        <v>3904.9724857685001</v>
      </c>
      <c r="O39" s="25">
        <f>N39*(1+'W-Dem'!O113)</f>
        <v>3904.9724857685001</v>
      </c>
      <c r="P39" s="25">
        <f>O39*(1+'W-Dem'!P113)</f>
        <v>3904.9724857685001</v>
      </c>
      <c r="Q39" s="380"/>
    </row>
    <row r="40" spans="1:17" ht="12.75" customHeight="1" x14ac:dyDescent="0.25">
      <c r="B40" s="74" t="s">
        <v>320</v>
      </c>
      <c r="C40" s="74"/>
      <c r="D40" s="74"/>
      <c r="E40" s="433">
        <f>(E55*1000000)/E10/12</f>
        <v>19781.695750359268</v>
      </c>
      <c r="F40" s="25">
        <f t="shared" si="44"/>
        <v>19781.695750359268</v>
      </c>
      <c r="G40" s="182">
        <f t="shared" si="44"/>
        <v>19781.695750359268</v>
      </c>
      <c r="H40" s="25">
        <f>G40*(1+'W-Dem'!H114)</f>
        <v>19781.695750359268</v>
      </c>
      <c r="I40" s="25">
        <f>H40*(1+'W-Dem'!I114)</f>
        <v>19781.695750359268</v>
      </c>
      <c r="J40" s="25">
        <f>I40*(1+'W-Dem'!J114)</f>
        <v>19781.695750359268</v>
      </c>
      <c r="K40" s="25">
        <f>J40*(1+'W-Dem'!K114)</f>
        <v>19781.695750359268</v>
      </c>
      <c r="L40" s="25">
        <f>K40*(1+'W-Dem'!L114)</f>
        <v>19781.695750359268</v>
      </c>
      <c r="M40" s="25">
        <f>L40*(1+'W-Dem'!M114)</f>
        <v>19781.695750359268</v>
      </c>
      <c r="N40" s="25">
        <f>M40*(1+'W-Dem'!N114)</f>
        <v>19781.695750359268</v>
      </c>
      <c r="O40" s="25">
        <f>N40*(1+'W-Dem'!O114)</f>
        <v>19781.695750359268</v>
      </c>
      <c r="P40" s="25">
        <f>O40*(1+'W-Dem'!P114)</f>
        <v>19781.695750359268</v>
      </c>
      <c r="Q40" s="380"/>
    </row>
    <row r="41" spans="1:17" ht="12.75" customHeight="1" x14ac:dyDescent="0.25">
      <c r="B41" s="73" t="s">
        <v>299</v>
      </c>
      <c r="C41" s="73"/>
      <c r="D41" s="73"/>
      <c r="E41" s="47"/>
      <c r="F41" s="47"/>
      <c r="G41" s="183"/>
      <c r="H41" s="405"/>
      <c r="I41" s="47"/>
      <c r="J41" s="47"/>
      <c r="K41" s="47"/>
      <c r="L41" s="47"/>
      <c r="M41" s="47"/>
      <c r="N41" s="47"/>
      <c r="O41" s="47"/>
      <c r="P41" s="47"/>
    </row>
    <row r="42" spans="1:17" ht="12.75" customHeight="1" x14ac:dyDescent="0.25">
      <c r="B42" s="74" t="s">
        <v>136</v>
      </c>
      <c r="C42" s="74"/>
      <c r="D42" s="74"/>
      <c r="E42" s="25">
        <f t="shared" ref="E42:I42" si="45">IF(E12&gt;0,E57*1000000/12/E12,0)</f>
        <v>6885.0317906824384</v>
      </c>
      <c r="F42" s="25">
        <f t="shared" si="45"/>
        <v>6885.0317906824384</v>
      </c>
      <c r="G42" s="182">
        <f t="shared" si="45"/>
        <v>6885.0317906824384</v>
      </c>
      <c r="H42" s="25">
        <f t="shared" si="45"/>
        <v>6885.0317906824384</v>
      </c>
      <c r="I42" s="25">
        <f t="shared" si="45"/>
        <v>6885.0317906824384</v>
      </c>
      <c r="J42" s="25">
        <f t="shared" ref="J42:P42" si="46">IF(J12&gt;0,J57*1000000/12/J12,0)</f>
        <v>6885.0317906824384</v>
      </c>
      <c r="K42" s="25">
        <f t="shared" si="46"/>
        <v>6885.0317906824384</v>
      </c>
      <c r="L42" s="25">
        <f t="shared" si="46"/>
        <v>6885.0317906824384</v>
      </c>
      <c r="M42" s="25">
        <f t="shared" si="46"/>
        <v>6885.0317906824384</v>
      </c>
      <c r="N42" s="25">
        <f t="shared" si="46"/>
        <v>6885.0317906824384</v>
      </c>
      <c r="O42" s="25">
        <f t="shared" si="46"/>
        <v>6885.0317906824384</v>
      </c>
      <c r="P42" s="25">
        <f t="shared" si="46"/>
        <v>6885.0317906824384</v>
      </c>
    </row>
    <row r="43" spans="1:17" ht="12.75" customHeight="1" x14ac:dyDescent="0.25">
      <c r="B43" s="107"/>
      <c r="C43" s="74"/>
      <c r="D43" s="74"/>
      <c r="E43" s="25"/>
      <c r="F43" s="210"/>
      <c r="G43" s="182"/>
      <c r="H43" s="25"/>
      <c r="I43" s="25"/>
      <c r="J43" s="25"/>
      <c r="K43" s="25"/>
      <c r="L43" s="25"/>
      <c r="M43" s="25"/>
      <c r="N43" s="25"/>
      <c r="O43" s="25"/>
      <c r="P43" s="25"/>
    </row>
    <row r="44" spans="1:17" ht="12.75" customHeight="1" x14ac:dyDescent="0.25">
      <c r="A44" s="72" t="s">
        <v>0</v>
      </c>
      <c r="C44" s="74"/>
      <c r="D44" s="74"/>
      <c r="E44" s="25"/>
      <c r="F44" s="25"/>
      <c r="G44" s="182"/>
      <c r="H44" s="25"/>
      <c r="I44" s="25"/>
      <c r="J44" s="25"/>
      <c r="K44" s="25"/>
      <c r="L44" s="25"/>
      <c r="M44" s="25"/>
      <c r="N44" s="25"/>
      <c r="O44" s="25"/>
      <c r="P44" s="25"/>
    </row>
    <row r="45" spans="1:17" ht="12.75" customHeight="1" x14ac:dyDescent="0.25">
      <c r="A45" s="72"/>
      <c r="B45" s="74" t="s">
        <v>223</v>
      </c>
      <c r="C45" s="74"/>
      <c r="D45" s="74"/>
      <c r="E45" s="25">
        <f>(E60*1000000)/E15/12</f>
        <v>432.82087447108603</v>
      </c>
      <c r="F45" s="25">
        <f t="shared" ref="F45:F46" si="47">E45</f>
        <v>432.82087447108603</v>
      </c>
      <c r="G45" s="182">
        <f t="shared" ref="G45:G46" si="48">F45</f>
        <v>432.82087447108603</v>
      </c>
      <c r="H45" s="25">
        <f>G45*(1+'W-Dem'!H119)</f>
        <v>432.82087447108603</v>
      </c>
      <c r="I45" s="25">
        <f>H45*(1+'W-Dem'!I119)</f>
        <v>432.82087447108603</v>
      </c>
      <c r="J45" s="25">
        <f>I45*(1+'W-Dem'!J119)</f>
        <v>432.82087447108603</v>
      </c>
      <c r="K45" s="25">
        <f>J45*(1+'W-Dem'!K119)</f>
        <v>432.82087447108603</v>
      </c>
      <c r="L45" s="25">
        <f>K45*(1+'W-Dem'!L119)</f>
        <v>432.82087447108603</v>
      </c>
      <c r="M45" s="25">
        <f>L45*(1+'W-Dem'!M119)</f>
        <v>432.82087447108603</v>
      </c>
      <c r="N45" s="25">
        <f>M45*(1+'W-Dem'!N119)</f>
        <v>432.82087447108603</v>
      </c>
      <c r="O45" s="25">
        <f>N45*(1+'W-Dem'!O119)</f>
        <v>432.82087447108603</v>
      </c>
      <c r="P45" s="25">
        <f>O45*(1+'W-Dem'!P119)</f>
        <v>432.82087447108603</v>
      </c>
    </row>
    <row r="46" spans="1:17" ht="12.75" customHeight="1" x14ac:dyDescent="0.25">
      <c r="A46" s="72"/>
      <c r="B46" s="74" t="s">
        <v>320</v>
      </c>
      <c r="C46" s="74"/>
      <c r="D46" s="74"/>
      <c r="E46" s="25">
        <f>(E61*1000000)/E16/12</f>
        <v>16020.000000000002</v>
      </c>
      <c r="F46" s="25">
        <f t="shared" si="47"/>
        <v>16020.000000000002</v>
      </c>
      <c r="G46" s="182">
        <f t="shared" si="48"/>
        <v>16020.000000000002</v>
      </c>
      <c r="H46" s="25">
        <f>G46*(1+'W-Dem'!H120)</f>
        <v>16020.000000000002</v>
      </c>
      <c r="I46" s="25">
        <f>H46*(1+'W-Dem'!I120)</f>
        <v>16020.000000000002</v>
      </c>
      <c r="J46" s="25">
        <f>I46*(1+'W-Dem'!J120)</f>
        <v>16020.000000000002</v>
      </c>
      <c r="K46" s="25">
        <f>J46*(1+'W-Dem'!K120)</f>
        <v>16020.000000000002</v>
      </c>
      <c r="L46" s="25">
        <f>K46*(1+'W-Dem'!L120)</f>
        <v>16020.000000000002</v>
      </c>
      <c r="M46" s="25">
        <f>L46*(1+'W-Dem'!M120)</f>
        <v>16020.000000000002</v>
      </c>
      <c r="N46" s="25">
        <f>M46*(1+'W-Dem'!N120)</f>
        <v>16020.000000000002</v>
      </c>
      <c r="O46" s="25">
        <f>N46*(1+'W-Dem'!O120)</f>
        <v>16020.000000000002</v>
      </c>
      <c r="P46" s="25">
        <f>O46*(1+'W-Dem'!P120)</f>
        <v>16020.000000000002</v>
      </c>
    </row>
    <row r="47" spans="1:17" ht="12.75" customHeight="1" x14ac:dyDescent="0.25">
      <c r="B47" s="73" t="s">
        <v>299</v>
      </c>
      <c r="C47" s="73"/>
      <c r="D47" s="73"/>
      <c r="E47" s="47"/>
      <c r="F47" s="47"/>
      <c r="G47" s="183"/>
      <c r="H47" s="47"/>
      <c r="I47" s="47"/>
      <c r="J47" s="47"/>
      <c r="K47" s="47"/>
      <c r="L47" s="47"/>
      <c r="M47" s="47"/>
      <c r="N47" s="47"/>
      <c r="O47" s="47"/>
      <c r="P47" s="47"/>
    </row>
    <row r="48" spans="1:17" ht="12.75" customHeight="1" x14ac:dyDescent="0.25">
      <c r="B48" s="74" t="s">
        <v>135</v>
      </c>
      <c r="C48" s="74"/>
      <c r="D48" s="74"/>
      <c r="E48" s="25">
        <f t="shared" ref="E48:I48" si="49">IF(E18&gt;0,E63*1000000/12/E18,0)</f>
        <v>476.66666666666674</v>
      </c>
      <c r="F48" s="25">
        <f t="shared" si="49"/>
        <v>476.66666666666674</v>
      </c>
      <c r="G48" s="182">
        <f t="shared" si="49"/>
        <v>476.66666666666674</v>
      </c>
      <c r="H48" s="25">
        <f t="shared" si="49"/>
        <v>476.66666666666674</v>
      </c>
      <c r="I48" s="25">
        <f t="shared" si="49"/>
        <v>476.66666666666674</v>
      </c>
      <c r="J48" s="25">
        <f t="shared" ref="J48:P48" si="50">IF(J18&gt;0,J63*1000000/12/J18,0)</f>
        <v>476.66666666666674</v>
      </c>
      <c r="K48" s="25">
        <f t="shared" si="50"/>
        <v>476.66666666666674</v>
      </c>
      <c r="L48" s="25">
        <f t="shared" si="50"/>
        <v>476.66666666666674</v>
      </c>
      <c r="M48" s="25">
        <f t="shared" si="50"/>
        <v>476.66666666666674</v>
      </c>
      <c r="N48" s="25">
        <f t="shared" si="50"/>
        <v>476.66666666666674</v>
      </c>
      <c r="O48" s="25">
        <f t="shared" si="50"/>
        <v>476.66666666666674</v>
      </c>
      <c r="P48" s="25">
        <f t="shared" si="50"/>
        <v>476.66666666666674</v>
      </c>
    </row>
    <row r="49" spans="1:16" ht="12.75" customHeight="1" thickBot="1" x14ac:dyDescent="0.3">
      <c r="B49" s="106"/>
      <c r="C49" s="106"/>
      <c r="D49" s="106"/>
      <c r="E49" s="57"/>
      <c r="F49" s="57"/>
      <c r="G49" s="192"/>
      <c r="H49" s="57"/>
      <c r="I49" s="57"/>
      <c r="J49" s="57"/>
      <c r="K49" s="57"/>
      <c r="L49" s="57"/>
      <c r="M49" s="57"/>
      <c r="N49" s="57"/>
      <c r="O49" s="57"/>
      <c r="P49" s="57"/>
    </row>
    <row r="50" spans="1:16" ht="12.75" customHeight="1" thickTop="1" x14ac:dyDescent="0.25">
      <c r="A50" s="72"/>
      <c r="B50" s="72" t="s">
        <v>63</v>
      </c>
      <c r="C50" s="74"/>
      <c r="D50" s="74"/>
      <c r="E50" s="25">
        <f t="shared" ref="E50:I50" si="51">IF(E20&gt;0,E65*1000000/12/E20,0)</f>
        <v>6552.1236254703526</v>
      </c>
      <c r="F50" s="25">
        <f t="shared" si="51"/>
        <v>6552.1236254703526</v>
      </c>
      <c r="G50" s="182">
        <f t="shared" si="51"/>
        <v>6552.1236254703526</v>
      </c>
      <c r="H50" s="25">
        <f t="shared" si="51"/>
        <v>6552.1236254703526</v>
      </c>
      <c r="I50" s="25">
        <f t="shared" si="51"/>
        <v>6552.1236254703526</v>
      </c>
      <c r="J50" s="25">
        <f t="shared" ref="J50:P50" si="52">IF(J20&gt;0,J65*1000000/12/J20,0)</f>
        <v>6552.1236254703526</v>
      </c>
      <c r="K50" s="25">
        <f t="shared" si="52"/>
        <v>6552.1236254703526</v>
      </c>
      <c r="L50" s="25">
        <f t="shared" si="52"/>
        <v>6552.1236254703526</v>
      </c>
      <c r="M50" s="25">
        <f t="shared" si="52"/>
        <v>6552.1236254703526</v>
      </c>
      <c r="N50" s="25">
        <f t="shared" si="52"/>
        <v>6552.1236254703526</v>
      </c>
      <c r="O50" s="25">
        <f t="shared" si="52"/>
        <v>6552.1236254703526</v>
      </c>
      <c r="P50" s="25">
        <f t="shared" si="52"/>
        <v>6552.1236254703526</v>
      </c>
    </row>
    <row r="51" spans="1:16" ht="12.75" customHeight="1" x14ac:dyDescent="0.25">
      <c r="B51" s="74"/>
      <c r="C51" s="74"/>
      <c r="D51" s="74"/>
      <c r="E51" s="25"/>
      <c r="F51" s="25"/>
      <c r="G51" s="182"/>
      <c r="H51" s="25"/>
      <c r="I51" s="25"/>
      <c r="J51" s="25"/>
      <c r="K51" s="25"/>
      <c r="L51" s="25"/>
      <c r="M51" s="25"/>
      <c r="N51" s="25"/>
      <c r="O51" s="25"/>
      <c r="P51" s="25"/>
    </row>
    <row r="52" spans="1:16" ht="12.75" customHeight="1" x14ac:dyDescent="0.25">
      <c r="A52" s="72" t="s">
        <v>79</v>
      </c>
      <c r="C52" s="72"/>
      <c r="D52" s="72"/>
      <c r="E52" s="45"/>
      <c r="F52" s="45"/>
      <c r="G52" s="158"/>
      <c r="H52" s="45"/>
      <c r="I52" s="45"/>
      <c r="J52" s="45"/>
      <c r="K52" s="45"/>
      <c r="L52" s="45"/>
      <c r="M52" s="45"/>
      <c r="N52" s="45"/>
      <c r="O52" s="45"/>
      <c r="P52" s="45"/>
    </row>
    <row r="53" spans="1:16" ht="12.75" customHeight="1" x14ac:dyDescent="0.25">
      <c r="A53" s="72" t="s">
        <v>191</v>
      </c>
      <c r="C53" s="72"/>
      <c r="D53" s="72"/>
      <c r="E53" s="45"/>
      <c r="F53" s="45"/>
      <c r="G53" s="158"/>
      <c r="H53" s="45"/>
      <c r="I53" s="45"/>
      <c r="J53" s="45"/>
      <c r="K53" s="45"/>
      <c r="L53" s="45"/>
      <c r="M53" s="45"/>
      <c r="N53" s="45"/>
      <c r="O53" s="45"/>
      <c r="P53" s="45"/>
    </row>
    <row r="54" spans="1:16" ht="12.75" customHeight="1" x14ac:dyDescent="0.25">
      <c r="B54" s="74" t="s">
        <v>223</v>
      </c>
      <c r="C54" s="74"/>
      <c r="D54" s="74"/>
      <c r="E54" s="609">
        <f>'Customer Data'!P39*3*100/1000000*0.6</f>
        <v>246.95045999999996</v>
      </c>
      <c r="F54" s="636">
        <f t="shared" ref="F54:I55" si="53">F39*12*F9/1000000</f>
        <v>246.95045999999994</v>
      </c>
      <c r="G54" s="185">
        <f t="shared" si="53"/>
        <v>246.95045999999994</v>
      </c>
      <c r="H54" s="51">
        <f t="shared" si="53"/>
        <v>246.95045999999994</v>
      </c>
      <c r="I54" s="51">
        <f t="shared" si="53"/>
        <v>246.95045999999994</v>
      </c>
      <c r="J54" s="51">
        <f t="shared" ref="J54:P54" si="54">J39*12*J9/1000000</f>
        <v>246.95045999999994</v>
      </c>
      <c r="K54" s="51">
        <f t="shared" si="54"/>
        <v>246.95045999999994</v>
      </c>
      <c r="L54" s="51">
        <f t="shared" si="54"/>
        <v>246.95045999999994</v>
      </c>
      <c r="M54" s="51">
        <f t="shared" si="54"/>
        <v>246.95045999999994</v>
      </c>
      <c r="N54" s="51">
        <f t="shared" si="54"/>
        <v>246.95045999999994</v>
      </c>
      <c r="O54" s="51">
        <f t="shared" si="54"/>
        <v>246.95045999999994</v>
      </c>
      <c r="P54" s="51">
        <f t="shared" si="54"/>
        <v>246.95045999999994</v>
      </c>
    </row>
    <row r="55" spans="1:16" ht="12.75" customHeight="1" x14ac:dyDescent="0.25">
      <c r="B55" s="74" t="s">
        <v>320</v>
      </c>
      <c r="C55" s="74"/>
      <c r="D55" s="74"/>
      <c r="E55" s="609">
        <f>'Customer Data'!P41*3*100/1000000*0.8</f>
        <v>289.06992000000002</v>
      </c>
      <c r="F55" s="636">
        <f t="shared" si="53"/>
        <v>289.06991999999997</v>
      </c>
      <c r="G55" s="185">
        <f t="shared" si="53"/>
        <v>289.06991999999997</v>
      </c>
      <c r="H55" s="51">
        <f t="shared" si="53"/>
        <v>289.06991999999997</v>
      </c>
      <c r="I55" s="51">
        <f t="shared" si="53"/>
        <v>289.06991999999997</v>
      </c>
      <c r="J55" s="51">
        <f t="shared" ref="J55:P55" si="55">J40*12*J10/1000000</f>
        <v>289.06991999999997</v>
      </c>
      <c r="K55" s="51">
        <f t="shared" si="55"/>
        <v>289.06991999999997</v>
      </c>
      <c r="L55" s="51">
        <f t="shared" si="55"/>
        <v>289.06991999999997</v>
      </c>
      <c r="M55" s="51">
        <f t="shared" si="55"/>
        <v>289.06991999999997</v>
      </c>
      <c r="N55" s="51">
        <f t="shared" si="55"/>
        <v>289.06991999999997</v>
      </c>
      <c r="O55" s="51">
        <f t="shared" si="55"/>
        <v>289.06991999999997</v>
      </c>
      <c r="P55" s="51">
        <f t="shared" si="55"/>
        <v>289.06991999999997</v>
      </c>
    </row>
    <row r="56" spans="1:16" ht="12.75" customHeight="1" x14ac:dyDescent="0.25">
      <c r="B56" s="73" t="s">
        <v>299</v>
      </c>
      <c r="C56" s="73"/>
      <c r="D56" s="73"/>
      <c r="E56" s="610"/>
      <c r="F56" s="58"/>
      <c r="G56" s="186"/>
      <c r="H56" s="58"/>
      <c r="I56" s="58"/>
      <c r="J56" s="58"/>
      <c r="K56" s="58"/>
      <c r="L56" s="58"/>
      <c r="M56" s="58"/>
      <c r="N56" s="58"/>
      <c r="O56" s="58"/>
      <c r="P56" s="58"/>
    </row>
    <row r="57" spans="1:16" ht="12.75" customHeight="1" x14ac:dyDescent="0.25">
      <c r="B57" s="74" t="s">
        <v>178</v>
      </c>
      <c r="C57" s="74"/>
      <c r="D57" s="74"/>
      <c r="E57" s="51">
        <f t="shared" ref="E57:I57" si="56">SUM(E54:E56)</f>
        <v>536.02037999999993</v>
      </c>
      <c r="F57" s="51">
        <f t="shared" si="56"/>
        <v>536.02037999999993</v>
      </c>
      <c r="G57" s="185">
        <f t="shared" si="56"/>
        <v>536.02037999999993</v>
      </c>
      <c r="H57" s="51">
        <f t="shared" si="56"/>
        <v>536.02037999999993</v>
      </c>
      <c r="I57" s="51">
        <f t="shared" si="56"/>
        <v>536.02037999999993</v>
      </c>
      <c r="J57" s="51">
        <f t="shared" ref="J57:P57" si="57">SUM(J54:J56)</f>
        <v>536.02037999999993</v>
      </c>
      <c r="K57" s="51">
        <f t="shared" si="57"/>
        <v>536.02037999999993</v>
      </c>
      <c r="L57" s="51">
        <f t="shared" si="57"/>
        <v>536.02037999999993</v>
      </c>
      <c r="M57" s="51">
        <f t="shared" si="57"/>
        <v>536.02037999999993</v>
      </c>
      <c r="N57" s="51">
        <f t="shared" si="57"/>
        <v>536.02037999999993</v>
      </c>
      <c r="O57" s="51">
        <f t="shared" si="57"/>
        <v>536.02037999999993</v>
      </c>
      <c r="P57" s="51">
        <f t="shared" si="57"/>
        <v>536.02037999999993</v>
      </c>
    </row>
    <row r="58" spans="1:16" ht="12.75" customHeight="1" x14ac:dyDescent="0.25">
      <c r="B58" s="74"/>
      <c r="C58" s="74"/>
      <c r="D58" s="74"/>
      <c r="E58" s="51"/>
      <c r="F58" s="51"/>
      <c r="G58" s="185"/>
      <c r="H58" s="51"/>
      <c r="I58" s="51"/>
      <c r="J58" s="51"/>
      <c r="K58" s="51"/>
      <c r="L58" s="51"/>
      <c r="M58" s="51"/>
      <c r="N58" s="51"/>
      <c r="O58" s="51"/>
      <c r="P58" s="51"/>
    </row>
    <row r="59" spans="1:16" ht="12.75" customHeight="1" x14ac:dyDescent="0.25">
      <c r="A59" s="72" t="s">
        <v>0</v>
      </c>
      <c r="C59" s="74"/>
      <c r="D59" s="74"/>
      <c r="E59" s="51"/>
      <c r="F59" s="51"/>
      <c r="G59" s="185"/>
      <c r="H59" s="51"/>
      <c r="I59" s="51"/>
      <c r="J59" s="51"/>
      <c r="K59" s="51"/>
      <c r="L59" s="51"/>
      <c r="M59" s="51"/>
      <c r="N59" s="51"/>
      <c r="O59" s="51"/>
      <c r="P59" s="51"/>
    </row>
    <row r="60" spans="1:16" ht="12.75" customHeight="1" x14ac:dyDescent="0.25">
      <c r="A60" s="72"/>
      <c r="B60" s="74" t="s">
        <v>223</v>
      </c>
      <c r="C60" s="74"/>
      <c r="D60" s="74"/>
      <c r="E60" s="609">
        <f>'Customer Data'!P40*3*100/1000000*0.6</f>
        <v>1.8412200000000001</v>
      </c>
      <c r="F60" s="636">
        <f>F45*12*F15/1000000</f>
        <v>1.8412200000000001</v>
      </c>
      <c r="G60" s="185">
        <f t="shared" ref="G60:P61" si="58">G45*12*G15/1000000</f>
        <v>1.8412200000000001</v>
      </c>
      <c r="H60" s="51">
        <f t="shared" si="58"/>
        <v>1.8412200000000001</v>
      </c>
      <c r="I60" s="51">
        <f t="shared" si="58"/>
        <v>1.8412200000000001</v>
      </c>
      <c r="J60" s="51">
        <f t="shared" si="58"/>
        <v>1.8412200000000001</v>
      </c>
      <c r="K60" s="51">
        <f t="shared" si="58"/>
        <v>1.8412200000000001</v>
      </c>
      <c r="L60" s="51">
        <f t="shared" si="58"/>
        <v>1.8412200000000001</v>
      </c>
      <c r="M60" s="51">
        <f t="shared" si="58"/>
        <v>1.8412200000000001</v>
      </c>
      <c r="N60" s="51">
        <f t="shared" si="58"/>
        <v>1.8412200000000001</v>
      </c>
      <c r="O60" s="51">
        <f t="shared" si="58"/>
        <v>1.8412200000000001</v>
      </c>
      <c r="P60" s="51">
        <f t="shared" si="58"/>
        <v>1.8412200000000001</v>
      </c>
    </row>
    <row r="61" spans="1:16" ht="12.75" customHeight="1" x14ac:dyDescent="0.25">
      <c r="A61" s="72"/>
      <c r="B61" s="74" t="s">
        <v>320</v>
      </c>
      <c r="C61" s="74"/>
      <c r="D61" s="74"/>
      <c r="E61" s="609">
        <f>'Customer Data'!P42*3*100/1000000*0.8</f>
        <v>0.19224000000000002</v>
      </c>
      <c r="F61" s="636">
        <f>F46*12*F16/1000000</f>
        <v>0.19224000000000002</v>
      </c>
      <c r="G61" s="185">
        <f t="shared" si="58"/>
        <v>0.19224000000000002</v>
      </c>
      <c r="H61" s="51">
        <f t="shared" si="58"/>
        <v>0.19224000000000002</v>
      </c>
      <c r="I61" s="51">
        <f t="shared" si="58"/>
        <v>0.19224000000000002</v>
      </c>
      <c r="J61" s="51">
        <f t="shared" si="58"/>
        <v>0.19224000000000002</v>
      </c>
      <c r="K61" s="51">
        <f t="shared" si="58"/>
        <v>0.19224000000000002</v>
      </c>
      <c r="L61" s="51">
        <f t="shared" si="58"/>
        <v>0.19224000000000002</v>
      </c>
      <c r="M61" s="51">
        <f t="shared" si="58"/>
        <v>0.19224000000000002</v>
      </c>
      <c r="N61" s="51">
        <f t="shared" si="58"/>
        <v>0.19224000000000002</v>
      </c>
      <c r="O61" s="51">
        <f t="shared" si="58"/>
        <v>0.19224000000000002</v>
      </c>
      <c r="P61" s="51">
        <f t="shared" si="58"/>
        <v>0.19224000000000002</v>
      </c>
    </row>
    <row r="62" spans="1:16" ht="12.75" customHeight="1" x14ac:dyDescent="0.25">
      <c r="B62" s="73" t="s">
        <v>299</v>
      </c>
      <c r="C62" s="73"/>
      <c r="D62" s="73"/>
      <c r="E62" s="610">
        <v>0</v>
      </c>
      <c r="F62" s="58">
        <f t="shared" ref="F62:I62" si="59">F47*12*F17/1000000</f>
        <v>0</v>
      </c>
      <c r="G62" s="186">
        <f t="shared" si="59"/>
        <v>0</v>
      </c>
      <c r="H62" s="58">
        <f t="shared" si="59"/>
        <v>0</v>
      </c>
      <c r="I62" s="58">
        <f t="shared" si="59"/>
        <v>0</v>
      </c>
      <c r="J62" s="58">
        <f t="shared" ref="J62:P62" si="60">J47*12*J17/1000000</f>
        <v>0</v>
      </c>
      <c r="K62" s="58">
        <f t="shared" si="60"/>
        <v>0</v>
      </c>
      <c r="L62" s="58">
        <f t="shared" si="60"/>
        <v>0</v>
      </c>
      <c r="M62" s="58">
        <f t="shared" si="60"/>
        <v>0</v>
      </c>
      <c r="N62" s="58">
        <f t="shared" si="60"/>
        <v>0</v>
      </c>
      <c r="O62" s="58">
        <f t="shared" si="60"/>
        <v>0</v>
      </c>
      <c r="P62" s="58">
        <f t="shared" si="60"/>
        <v>0</v>
      </c>
    </row>
    <row r="63" spans="1:16" ht="12.75" customHeight="1" x14ac:dyDescent="0.25">
      <c r="B63" s="102" t="s">
        <v>192</v>
      </c>
      <c r="C63" s="102"/>
      <c r="D63" s="102"/>
      <c r="E63" s="138">
        <f t="shared" ref="E63:I63" si="61">SUM(E60:E62)</f>
        <v>2.0334600000000003</v>
      </c>
      <c r="F63" s="138">
        <f t="shared" si="61"/>
        <v>2.0334600000000003</v>
      </c>
      <c r="G63" s="187">
        <f t="shared" si="61"/>
        <v>2.0334600000000003</v>
      </c>
      <c r="H63" s="138">
        <f t="shared" si="61"/>
        <v>2.0334600000000003</v>
      </c>
      <c r="I63" s="138">
        <f t="shared" si="61"/>
        <v>2.0334600000000003</v>
      </c>
      <c r="J63" s="138">
        <f t="shared" ref="J63:P63" si="62">SUM(J60:J62)</f>
        <v>2.0334600000000003</v>
      </c>
      <c r="K63" s="138">
        <f t="shared" si="62"/>
        <v>2.0334600000000003</v>
      </c>
      <c r="L63" s="138">
        <f t="shared" si="62"/>
        <v>2.0334600000000003</v>
      </c>
      <c r="M63" s="138">
        <f t="shared" si="62"/>
        <v>2.0334600000000003</v>
      </c>
      <c r="N63" s="138">
        <f t="shared" si="62"/>
        <v>2.0334600000000003</v>
      </c>
      <c r="O63" s="138">
        <f t="shared" si="62"/>
        <v>2.0334600000000003</v>
      </c>
      <c r="P63" s="138">
        <f t="shared" si="62"/>
        <v>2.0334600000000003</v>
      </c>
    </row>
    <row r="64" spans="1:16" ht="12.75" customHeight="1" thickBot="1" x14ac:dyDescent="0.3">
      <c r="B64" s="106"/>
      <c r="C64" s="106"/>
      <c r="D64" s="106"/>
      <c r="E64" s="59"/>
      <c r="F64" s="59"/>
      <c r="G64" s="193"/>
      <c r="H64" s="59"/>
      <c r="I64" s="59"/>
      <c r="J64" s="59"/>
      <c r="K64" s="59"/>
      <c r="L64" s="59"/>
      <c r="M64" s="59"/>
      <c r="N64" s="59"/>
      <c r="O64" s="59"/>
      <c r="P64" s="59"/>
    </row>
    <row r="65" spans="1:19" ht="12.75" customHeight="1" thickTop="1" x14ac:dyDescent="0.25">
      <c r="A65" s="72"/>
      <c r="B65" s="72" t="s">
        <v>64</v>
      </c>
      <c r="C65" s="74"/>
      <c r="D65" s="74"/>
      <c r="E65" s="51">
        <f t="shared" ref="E65:I65" si="63">E57+E63</f>
        <v>538.05383999999992</v>
      </c>
      <c r="F65" s="51">
        <f t="shared" si="63"/>
        <v>538.05383999999992</v>
      </c>
      <c r="G65" s="185">
        <f t="shared" si="63"/>
        <v>538.05383999999992</v>
      </c>
      <c r="H65" s="51">
        <f t="shared" si="63"/>
        <v>538.05383999999992</v>
      </c>
      <c r="I65" s="51">
        <f t="shared" si="63"/>
        <v>538.05383999999992</v>
      </c>
      <c r="J65" s="51">
        <f t="shared" ref="J65:P65" si="64">J57+J63</f>
        <v>538.05383999999992</v>
      </c>
      <c r="K65" s="51">
        <f t="shared" si="64"/>
        <v>538.05383999999992</v>
      </c>
      <c r="L65" s="51">
        <f t="shared" si="64"/>
        <v>538.05383999999992</v>
      </c>
      <c r="M65" s="51">
        <f t="shared" si="64"/>
        <v>538.05383999999992</v>
      </c>
      <c r="N65" s="51">
        <f t="shared" si="64"/>
        <v>538.05383999999992</v>
      </c>
      <c r="O65" s="51">
        <f t="shared" si="64"/>
        <v>538.05383999999992</v>
      </c>
      <c r="P65" s="51">
        <f t="shared" si="64"/>
        <v>538.05383999999992</v>
      </c>
    </row>
    <row r="66" spans="1:19" ht="12.75" customHeight="1" thickBot="1" x14ac:dyDescent="0.3">
      <c r="A66" s="75"/>
      <c r="B66" s="75"/>
      <c r="C66" s="75"/>
      <c r="D66" s="75"/>
      <c r="E66" s="50"/>
      <c r="F66" s="50"/>
      <c r="G66" s="188"/>
      <c r="H66" s="50"/>
      <c r="I66" s="50"/>
      <c r="J66" s="50"/>
      <c r="K66" s="50"/>
      <c r="L66" s="50"/>
      <c r="M66" s="50"/>
      <c r="N66" s="50"/>
      <c r="O66" s="50"/>
      <c r="P66" s="50"/>
    </row>
    <row r="67" spans="1:19" ht="12.75" customHeight="1" x14ac:dyDescent="0.25">
      <c r="G67" s="341"/>
      <c r="H67" s="341"/>
      <c r="I67" s="341"/>
      <c r="J67" s="341"/>
      <c r="K67" s="341"/>
      <c r="L67" s="341"/>
      <c r="M67" s="341"/>
      <c r="N67" s="341"/>
      <c r="O67" s="341"/>
      <c r="P67" s="341"/>
    </row>
    <row r="68" spans="1:19" ht="12.75" customHeight="1" x14ac:dyDescent="0.25">
      <c r="F68" s="377"/>
    </row>
    <row r="69" spans="1:19" ht="14.1" customHeight="1" x14ac:dyDescent="0.25">
      <c r="E69" s="25"/>
      <c r="F69" s="25"/>
      <c r="G69" s="25"/>
      <c r="H69" s="25"/>
      <c r="I69" s="25"/>
      <c r="J69" s="25"/>
      <c r="K69" s="25"/>
      <c r="L69" s="25"/>
      <c r="M69" s="25"/>
      <c r="N69" s="25"/>
      <c r="O69" s="25"/>
      <c r="P69" s="25"/>
      <c r="Q69"/>
      <c r="R69"/>
      <c r="S69"/>
    </row>
    <row r="70" spans="1:19" ht="12.75" customHeight="1" x14ac:dyDescent="0.25">
      <c r="A70" s="77" t="s">
        <v>244</v>
      </c>
      <c r="C70" s="6"/>
      <c r="D70" s="6"/>
      <c r="Q70"/>
      <c r="R70"/>
      <c r="S70"/>
    </row>
    <row r="71" spans="1:19" ht="12.75" customHeight="1" x14ac:dyDescent="0.25">
      <c r="A71" s="77" t="s">
        <v>80</v>
      </c>
      <c r="C71" s="6"/>
      <c r="D71" s="6"/>
      <c r="Q71"/>
      <c r="R71"/>
      <c r="S71"/>
    </row>
    <row r="72" spans="1:19" ht="12.75" customHeight="1" x14ac:dyDescent="0.25">
      <c r="A72" s="29" t="s">
        <v>57</v>
      </c>
      <c r="C72" s="6"/>
      <c r="D72" s="6"/>
      <c r="Q72"/>
      <c r="R72"/>
      <c r="S72"/>
    </row>
    <row r="73" spans="1:19" ht="12.75" customHeight="1" thickBot="1" x14ac:dyDescent="0.3">
      <c r="A73" s="78" t="s">
        <v>428</v>
      </c>
      <c r="B73" s="7"/>
      <c r="C73" s="8"/>
      <c r="D73" s="8"/>
      <c r="E73" s="7"/>
      <c r="F73" s="7"/>
      <c r="G73" s="7"/>
      <c r="H73" s="7"/>
      <c r="I73" s="7"/>
      <c r="J73" s="7"/>
      <c r="K73" s="7"/>
      <c r="L73" s="7"/>
      <c r="M73" s="7"/>
      <c r="N73" s="7"/>
      <c r="O73" s="7"/>
      <c r="P73" s="7"/>
      <c r="Q73"/>
      <c r="R73"/>
      <c r="S73"/>
    </row>
    <row r="74" spans="1:19" ht="12.75" customHeight="1" x14ac:dyDescent="0.25">
      <c r="A74" s="646" t="s">
        <v>215</v>
      </c>
      <c r="B74" s="646"/>
      <c r="C74" s="646"/>
      <c r="D74" s="646"/>
      <c r="E74" s="215">
        <f>Sum!E$5</f>
        <v>2023</v>
      </c>
      <c r="F74" s="215">
        <f>Sum!F$5</f>
        <v>2024</v>
      </c>
      <c r="G74" s="216">
        <f>Sum!G$5</f>
        <v>2025</v>
      </c>
      <c r="H74" s="215">
        <f>Sum!H$5</f>
        <v>2026</v>
      </c>
      <c r="I74" s="215">
        <f>Sum!I$5</f>
        <v>2027</v>
      </c>
      <c r="J74" s="215">
        <f>Sum!J$5</f>
        <v>2028</v>
      </c>
      <c r="K74" s="215">
        <f>Sum!K$5</f>
        <v>2029</v>
      </c>
      <c r="L74" s="215">
        <f>Sum!L$5</f>
        <v>2030</v>
      </c>
      <c r="M74" s="215">
        <f>Sum!M$5</f>
        <v>2031</v>
      </c>
      <c r="N74" s="215">
        <f>Sum!N$5</f>
        <v>2032</v>
      </c>
      <c r="O74" s="215">
        <f>Sum!O$5</f>
        <v>2033</v>
      </c>
      <c r="P74" s="215">
        <f>Sum!P$5</f>
        <v>2034</v>
      </c>
      <c r="Q74"/>
      <c r="R74"/>
      <c r="S74"/>
    </row>
    <row r="75" spans="1:19" ht="12.75" customHeight="1" x14ac:dyDescent="0.25">
      <c r="A75" s="79"/>
      <c r="B75" s="10"/>
      <c r="C75" s="10"/>
      <c r="D75" s="10"/>
      <c r="E75" s="11"/>
      <c r="F75" s="11"/>
      <c r="G75" s="168"/>
      <c r="H75" s="11"/>
      <c r="I75" s="11"/>
      <c r="J75" s="11"/>
      <c r="K75" s="11"/>
      <c r="L75" s="11"/>
      <c r="M75" s="11"/>
      <c r="N75" s="11"/>
      <c r="O75" s="11"/>
      <c r="P75" s="11"/>
      <c r="Q75"/>
      <c r="R75"/>
      <c r="S75"/>
    </row>
    <row r="76" spans="1:19" ht="12.75" customHeight="1" x14ac:dyDescent="0.25">
      <c r="A76" s="71" t="s">
        <v>74</v>
      </c>
      <c r="B76" s="10"/>
      <c r="C76" s="10"/>
      <c r="D76" s="10"/>
      <c r="E76" s="11"/>
      <c r="F76" s="11"/>
      <c r="G76" s="168"/>
      <c r="H76" s="11"/>
      <c r="I76" s="11"/>
      <c r="J76" s="11"/>
      <c r="K76" s="11"/>
      <c r="L76" s="11"/>
      <c r="M76" s="11"/>
      <c r="N76" s="11"/>
      <c r="O76" s="11"/>
      <c r="P76" s="11"/>
      <c r="Q76"/>
      <c r="R76"/>
      <c r="S76"/>
    </row>
    <row r="77" spans="1:19" ht="12.75" customHeight="1" x14ac:dyDescent="0.25">
      <c r="A77" s="71" t="s">
        <v>12</v>
      </c>
      <c r="B77" s="10"/>
      <c r="C77" s="10"/>
      <c r="D77" s="10"/>
      <c r="E77" s="11"/>
      <c r="F77" s="11"/>
      <c r="G77" s="168"/>
      <c r="H77" s="11"/>
      <c r="I77" s="11"/>
      <c r="J77" s="11"/>
      <c r="K77" s="11"/>
      <c r="L77" s="11"/>
      <c r="M77" s="11"/>
      <c r="N77" s="11"/>
      <c r="O77" s="11"/>
      <c r="P77" s="11"/>
      <c r="Q77"/>
      <c r="R77"/>
      <c r="S77"/>
    </row>
    <row r="78" spans="1:19" ht="12.75" customHeight="1" x14ac:dyDescent="0.25">
      <c r="A78" s="80" t="s">
        <v>15</v>
      </c>
      <c r="B78" s="10"/>
      <c r="C78" s="61"/>
      <c r="D78" s="61"/>
      <c r="E78" s="11"/>
      <c r="F78" s="251">
        <f>'W-Dem'!F98</f>
        <v>0</v>
      </c>
      <c r="G78" s="163">
        <f>'W-Dem'!G98</f>
        <v>0</v>
      </c>
      <c r="H78" s="66">
        <f>'W-Dem'!H98</f>
        <v>0</v>
      </c>
      <c r="I78" s="66">
        <f>'W-Dem'!I98</f>
        <v>0</v>
      </c>
      <c r="J78" s="66">
        <f>'W-Dem'!J98</f>
        <v>0</v>
      </c>
      <c r="K78" s="66">
        <f>'W-Dem'!K98</f>
        <v>0</v>
      </c>
      <c r="L78" s="66">
        <f>'W-Dem'!L98</f>
        <v>0</v>
      </c>
      <c r="M78" s="66">
        <f>'W-Dem'!M98</f>
        <v>0</v>
      </c>
      <c r="N78" s="66">
        <f>'W-Dem'!N98</f>
        <v>0</v>
      </c>
      <c r="O78" s="66">
        <f>'W-Dem'!O98</f>
        <v>0</v>
      </c>
      <c r="P78" s="66">
        <f>'W-Dem'!P98</f>
        <v>0</v>
      </c>
      <c r="Q78"/>
      <c r="R78"/>
      <c r="S78"/>
    </row>
    <row r="79" spans="1:19" ht="12.75" customHeight="1" x14ac:dyDescent="0.25">
      <c r="A79" s="80" t="s">
        <v>342</v>
      </c>
      <c r="B79" s="10"/>
      <c r="C79" s="61"/>
      <c r="D79" s="61"/>
      <c r="E79" s="11"/>
      <c r="F79" s="251">
        <v>0</v>
      </c>
      <c r="G79" s="163">
        <f>'W-Dem'!G99</f>
        <v>0</v>
      </c>
      <c r="H79" s="66">
        <f>'W-Dem'!H99</f>
        <v>0</v>
      </c>
      <c r="I79" s="66">
        <f>'W-Dem'!I99</f>
        <v>0</v>
      </c>
      <c r="J79" s="66">
        <f>'W-Dem'!J99</f>
        <v>0</v>
      </c>
      <c r="K79" s="66">
        <f>'W-Dem'!K99</f>
        <v>0</v>
      </c>
      <c r="L79" s="66">
        <f>'W-Dem'!L99</f>
        <v>0</v>
      </c>
      <c r="M79" s="66">
        <f>'W-Dem'!M99</f>
        <v>0</v>
      </c>
      <c r="N79" s="66">
        <f>'W-Dem'!N99</f>
        <v>0</v>
      </c>
      <c r="O79" s="66">
        <f>'W-Dem'!O99</f>
        <v>0</v>
      </c>
      <c r="P79" s="66">
        <f>'W-Dem'!P99</f>
        <v>0</v>
      </c>
      <c r="Q79"/>
      <c r="R79"/>
      <c r="S79"/>
    </row>
    <row r="80" spans="1:19" ht="12.75" customHeight="1" x14ac:dyDescent="0.25">
      <c r="A80" s="80" t="s">
        <v>296</v>
      </c>
      <c r="B80" s="10"/>
      <c r="C80" s="24"/>
      <c r="D80" s="24"/>
      <c r="E80" s="86"/>
      <c r="F80" s="251">
        <v>0</v>
      </c>
      <c r="G80" s="163">
        <v>0</v>
      </c>
      <c r="H80" s="66">
        <v>0</v>
      </c>
      <c r="I80" s="66">
        <v>0</v>
      </c>
      <c r="J80" s="66">
        <v>0</v>
      </c>
      <c r="K80" s="66">
        <v>0</v>
      </c>
      <c r="L80" s="66">
        <v>0</v>
      </c>
      <c r="M80" s="66">
        <v>0</v>
      </c>
      <c r="N80" s="66">
        <v>0</v>
      </c>
      <c r="O80" s="66">
        <v>0</v>
      </c>
      <c r="P80" s="66">
        <v>0</v>
      </c>
      <c r="Q80"/>
      <c r="R80"/>
      <c r="S80"/>
    </row>
    <row r="81" spans="1:19" ht="12.75" customHeight="1" x14ac:dyDescent="0.25">
      <c r="A81" s="80"/>
      <c r="B81" s="10"/>
      <c r="C81" s="24"/>
      <c r="D81" s="24"/>
      <c r="E81" s="86"/>
      <c r="F81" s="252"/>
      <c r="G81" s="170"/>
      <c r="H81" s="54"/>
      <c r="I81" s="54"/>
      <c r="J81" s="54"/>
      <c r="K81" s="54"/>
      <c r="L81" s="54"/>
      <c r="M81" s="54"/>
      <c r="N81" s="54"/>
      <c r="O81" s="54"/>
      <c r="P81" s="54"/>
      <c r="Q81"/>
      <c r="R81"/>
      <c r="S81"/>
    </row>
    <row r="82" spans="1:19" ht="12.75" customHeight="1" x14ac:dyDescent="0.25">
      <c r="A82" s="80"/>
      <c r="B82" s="10"/>
      <c r="C82" s="24"/>
      <c r="D82" s="24"/>
      <c r="E82" s="86"/>
      <c r="F82" s="252"/>
      <c r="G82" s="170"/>
      <c r="H82" s="54"/>
      <c r="I82" s="54"/>
      <c r="J82" s="54"/>
      <c r="K82" s="54"/>
      <c r="L82" s="54"/>
      <c r="M82" s="54"/>
      <c r="N82" s="54"/>
      <c r="O82" s="54"/>
      <c r="P82" s="54"/>
      <c r="Q82"/>
      <c r="R82"/>
      <c r="S82"/>
    </row>
    <row r="83" spans="1:19" ht="12.75" customHeight="1" x14ac:dyDescent="0.25">
      <c r="A83" s="71" t="s">
        <v>260</v>
      </c>
      <c r="B83" s="10"/>
      <c r="C83" s="10"/>
      <c r="D83" s="10"/>
      <c r="E83" s="11"/>
      <c r="F83" s="378"/>
      <c r="G83" s="170"/>
      <c r="H83" s="54"/>
      <c r="I83" s="54"/>
      <c r="J83" s="54"/>
      <c r="K83" s="54"/>
      <c r="L83" s="54"/>
      <c r="M83" s="54"/>
      <c r="N83" s="54"/>
      <c r="O83" s="54"/>
      <c r="P83" s="54"/>
      <c r="Q83"/>
      <c r="R83"/>
      <c r="S83"/>
    </row>
    <row r="84" spans="1:19" ht="12.75" customHeight="1" x14ac:dyDescent="0.25">
      <c r="A84" s="80" t="s">
        <v>15</v>
      </c>
      <c r="B84" s="10"/>
      <c r="C84" s="61"/>
      <c r="D84" s="61"/>
      <c r="E84" s="11"/>
      <c r="F84" s="251">
        <v>0</v>
      </c>
      <c r="G84" s="163">
        <v>0</v>
      </c>
      <c r="H84" s="66">
        <v>0</v>
      </c>
      <c r="I84" s="66">
        <v>0</v>
      </c>
      <c r="J84" s="66">
        <v>0</v>
      </c>
      <c r="K84" s="66">
        <v>0</v>
      </c>
      <c r="L84" s="66">
        <v>0</v>
      </c>
      <c r="M84" s="66">
        <v>0</v>
      </c>
      <c r="N84" s="66">
        <v>0</v>
      </c>
      <c r="O84" s="66">
        <v>0</v>
      </c>
      <c r="P84" s="66">
        <v>0</v>
      </c>
      <c r="Q84"/>
      <c r="R84"/>
      <c r="S84"/>
    </row>
    <row r="85" spans="1:19" ht="12.75" customHeight="1" x14ac:dyDescent="0.25">
      <c r="A85" s="80" t="s">
        <v>342</v>
      </c>
      <c r="B85" s="10"/>
      <c r="C85" s="61"/>
      <c r="D85" s="61"/>
      <c r="E85" s="11"/>
      <c r="F85" s="251">
        <v>0</v>
      </c>
      <c r="G85" s="163">
        <v>0</v>
      </c>
      <c r="H85" s="66">
        <v>0</v>
      </c>
      <c r="I85" s="66">
        <v>0</v>
      </c>
      <c r="J85" s="66">
        <v>0</v>
      </c>
      <c r="K85" s="66">
        <v>0</v>
      </c>
      <c r="L85" s="66">
        <v>0</v>
      </c>
      <c r="M85" s="66">
        <v>0</v>
      </c>
      <c r="N85" s="66">
        <v>0</v>
      </c>
      <c r="O85" s="66">
        <v>0</v>
      </c>
      <c r="P85" s="66">
        <v>0</v>
      </c>
      <c r="Q85"/>
      <c r="R85"/>
      <c r="S85"/>
    </row>
    <row r="86" spans="1:19" ht="12.75" customHeight="1" x14ac:dyDescent="0.25">
      <c r="A86" s="80" t="s">
        <v>296</v>
      </c>
      <c r="B86" s="10"/>
      <c r="C86" s="24"/>
      <c r="D86" s="24"/>
      <c r="E86" s="86"/>
      <c r="F86" s="251"/>
      <c r="G86" s="163"/>
      <c r="H86" s="66"/>
      <c r="I86" s="66"/>
      <c r="J86" s="66"/>
      <c r="K86" s="66"/>
      <c r="L86" s="66"/>
      <c r="M86" s="66"/>
      <c r="N86" s="66"/>
      <c r="O86" s="66"/>
      <c r="P86" s="66"/>
      <c r="Q86"/>
      <c r="R86"/>
      <c r="S86"/>
    </row>
    <row r="87" spans="1:19" ht="12.75" customHeight="1" thickBot="1" x14ac:dyDescent="0.3">
      <c r="A87" s="81"/>
      <c r="B87" s="27"/>
      <c r="C87" s="27"/>
      <c r="D87" s="27"/>
      <c r="E87" s="26"/>
      <c r="F87" s="26"/>
      <c r="G87" s="169"/>
      <c r="H87" s="26"/>
      <c r="I87" s="26"/>
      <c r="J87" s="26"/>
      <c r="K87" s="26"/>
      <c r="L87" s="26"/>
      <c r="M87" s="26"/>
      <c r="N87" s="26"/>
      <c r="O87" s="26"/>
      <c r="P87" s="26"/>
      <c r="Q87"/>
      <c r="R87"/>
      <c r="S87"/>
    </row>
    <row r="88" spans="1:19" ht="12.75" customHeight="1" x14ac:dyDescent="0.25">
      <c r="G88" s="341"/>
      <c r="L88"/>
      <c r="M88"/>
      <c r="N88"/>
      <c r="O88"/>
      <c r="P88"/>
      <c r="Q88"/>
    </row>
  </sheetData>
  <mergeCells count="2">
    <mergeCell ref="A5:D5"/>
    <mergeCell ref="A74:D74"/>
  </mergeCells>
  <phoneticPr fontId="0" type="noConversion"/>
  <printOptions horizontalCentered="1" verticalCentered="1"/>
  <pageMargins left="0.5" right="0.5" top="0.4" bottom="0.4" header="0" footer="0"/>
  <pageSetup scale="98"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2"/>
  </sheetPr>
  <dimension ref="A1:V49"/>
  <sheetViews>
    <sheetView zoomScale="98" zoomScaleNormal="100" workbookViewId="0">
      <selection activeCell="G21" sqref="G21"/>
    </sheetView>
  </sheetViews>
  <sheetFormatPr defaultColWidth="9.109375" defaultRowHeight="12.75" customHeight="1" x14ac:dyDescent="0.25"/>
  <cols>
    <col min="1" max="1" width="11.6640625" style="108" customWidth="1"/>
    <col min="2" max="4" width="10.6640625" style="108" customWidth="1"/>
    <col min="5" max="16" width="12.6640625" style="108" customWidth="1"/>
    <col min="17" max="16384" width="9.109375" style="108"/>
  </cols>
  <sheetData>
    <row r="1" spans="1:16" ht="12.75" customHeight="1" x14ac:dyDescent="0.25">
      <c r="A1" s="139" t="s">
        <v>175</v>
      </c>
    </row>
    <row r="2" spans="1:16" ht="12.75" customHeight="1" x14ac:dyDescent="0.25">
      <c r="A2" s="363" t="s">
        <v>67</v>
      </c>
      <c r="D2" s="256"/>
    </row>
    <row r="3" spans="1:16" ht="12.75" customHeight="1" thickBot="1" x14ac:dyDescent="0.3">
      <c r="A3" s="78" t="s">
        <v>428</v>
      </c>
      <c r="B3" s="115"/>
      <c r="C3" s="115"/>
      <c r="D3" s="115"/>
      <c r="E3" s="115"/>
      <c r="F3" s="115"/>
      <c r="G3" s="115"/>
      <c r="H3" s="115"/>
      <c r="I3" s="115"/>
      <c r="J3" s="115"/>
    </row>
    <row r="4" spans="1:16" ht="12.75" customHeight="1" x14ac:dyDescent="0.25">
      <c r="A4" s="645" t="s">
        <v>215</v>
      </c>
      <c r="B4" s="645"/>
      <c r="C4" s="645"/>
      <c r="D4" s="214"/>
      <c r="E4" s="215">
        <f>Sum!E$5</f>
        <v>2023</v>
      </c>
      <c r="F4" s="215">
        <f>Sum!F$5</f>
        <v>2024</v>
      </c>
      <c r="G4" s="216">
        <f>Sum!G$5</f>
        <v>2025</v>
      </c>
      <c r="H4" s="215">
        <f>Sum!H$5</f>
        <v>2026</v>
      </c>
      <c r="I4" s="215">
        <f>Sum!I$5</f>
        <v>2027</v>
      </c>
      <c r="J4" s="215">
        <f>Sum!J$5</f>
        <v>2028</v>
      </c>
      <c r="K4" s="281">
        <f>Sum!K$5</f>
        <v>2029</v>
      </c>
      <c r="L4" s="281">
        <f>Sum!L$5</f>
        <v>2030</v>
      </c>
      <c r="M4" s="281">
        <f>Sum!M$5</f>
        <v>2031</v>
      </c>
      <c r="N4" s="281">
        <f>Sum!N$5</f>
        <v>2032</v>
      </c>
      <c r="O4" s="281">
        <f>Sum!O$5</f>
        <v>2033</v>
      </c>
      <c r="P4" s="281">
        <f>Sum!P$5</f>
        <v>2034</v>
      </c>
    </row>
    <row r="5" spans="1:16" ht="12.75" customHeight="1" x14ac:dyDescent="0.25">
      <c r="G5" s="255"/>
    </row>
    <row r="6" spans="1:16" ht="12.75" customHeight="1" x14ac:dyDescent="0.25">
      <c r="A6" s="139" t="s">
        <v>18</v>
      </c>
      <c r="G6" s="255"/>
    </row>
    <row r="7" spans="1:16" ht="12.75" customHeight="1" x14ac:dyDescent="0.25">
      <c r="A7" s="134"/>
      <c r="B7" s="108" t="s">
        <v>19</v>
      </c>
      <c r="E7" s="114">
        <f>'W-Rev'!E23</f>
        <v>1319865.5436749998</v>
      </c>
      <c r="F7" s="114">
        <f>'W-Rev'!F23</f>
        <v>1326063.7345499999</v>
      </c>
      <c r="G7" s="257">
        <f>'W-Rev'!G23</f>
        <v>2323573.0172909996</v>
      </c>
      <c r="H7" s="114">
        <f>'W-Rev'!H23</f>
        <v>2554153.4299229998</v>
      </c>
      <c r="I7" s="114">
        <f>'W-Rev'!I23</f>
        <v>2632732.6108275</v>
      </c>
      <c r="J7" s="114">
        <f>'W-Rev'!J23</f>
        <v>2712069.9669717452</v>
      </c>
      <c r="K7" s="114">
        <f>'W-Rev'!K23</f>
        <v>2792188.2436129274</v>
      </c>
      <c r="L7" s="114">
        <f>'W-Rev'!L23</f>
        <v>2873110.8683659555</v>
      </c>
      <c r="M7" s="114">
        <f>'W-Rev'!M23</f>
        <v>2960784.935331184</v>
      </c>
      <c r="N7" s="114">
        <f>'W-Rev'!N23</f>
        <v>3049312.3352082693</v>
      </c>
      <c r="O7" s="114">
        <f>'W-Rev'!O23</f>
        <v>3138718.6679845671</v>
      </c>
      <c r="P7" s="114">
        <f>'W-Rev'!P23</f>
        <v>3234953.2653040541</v>
      </c>
    </row>
    <row r="8" spans="1:16" ht="12.75" customHeight="1" x14ac:dyDescent="0.25">
      <c r="A8" s="134"/>
      <c r="B8" s="258" t="s">
        <v>100</v>
      </c>
      <c r="C8" s="258"/>
      <c r="D8" s="136"/>
      <c r="E8" s="112">
        <f>'WW-Rev'!E21</f>
        <v>2565340.7058000001</v>
      </c>
      <c r="F8" s="112">
        <f>'WW-Rev'!F21</f>
        <v>2577175.4429999995</v>
      </c>
      <c r="G8" s="259">
        <f>'WW-Rev'!G21</f>
        <v>3350328.0759000001</v>
      </c>
      <c r="H8" s="112">
        <f>'WW-Rev'!H21</f>
        <v>4355426.4986699997</v>
      </c>
      <c r="I8" s="112">
        <f>'WW-Rev'!I21</f>
        <v>4355426.4986699997</v>
      </c>
      <c r="J8" s="112">
        <f>'WW-Rev'!J21</f>
        <v>4355426.4986699997</v>
      </c>
      <c r="K8" s="112">
        <f>'WW-Rev'!K21</f>
        <v>4355426.4986699997</v>
      </c>
      <c r="L8" s="112">
        <f>'WW-Rev'!L21</f>
        <v>4355426.4986699997</v>
      </c>
      <c r="M8" s="112">
        <f>'WW-Rev'!M21</f>
        <v>4355426.4986699997</v>
      </c>
      <c r="N8" s="112">
        <f>'WW-Rev'!N21</f>
        <v>4355426.4986699997</v>
      </c>
      <c r="O8" s="112">
        <f>'WW-Rev'!O21</f>
        <v>4355426.4986699997</v>
      </c>
      <c r="P8" s="112">
        <f>'WW-Rev'!P21</f>
        <v>4355426.4986699997</v>
      </c>
    </row>
    <row r="9" spans="1:16" ht="12.75" customHeight="1" x14ac:dyDescent="0.25">
      <c r="B9" s="144" t="s">
        <v>219</v>
      </c>
      <c r="C9" s="144"/>
      <c r="E9" s="114">
        <f t="shared" ref="E9:I9" si="0">SUM(E7:E8)</f>
        <v>3885206.249475</v>
      </c>
      <c r="F9" s="114">
        <f t="shared" si="0"/>
        <v>3903239.1775499992</v>
      </c>
      <c r="G9" s="257">
        <f t="shared" si="0"/>
        <v>5673901.0931909997</v>
      </c>
      <c r="H9" s="114">
        <f t="shared" si="0"/>
        <v>6909579.9285929995</v>
      </c>
      <c r="I9" s="114">
        <f t="shared" si="0"/>
        <v>6988159.1094974997</v>
      </c>
      <c r="J9" s="114">
        <f t="shared" ref="J9:P9" si="1">SUM(J7:J8)</f>
        <v>7067496.4656417444</v>
      </c>
      <c r="K9" s="114">
        <f t="shared" si="1"/>
        <v>7147614.742282927</v>
      </c>
      <c r="L9" s="114">
        <f t="shared" si="1"/>
        <v>7228537.3670359552</v>
      </c>
      <c r="M9" s="114">
        <f t="shared" si="1"/>
        <v>7316211.4340011831</v>
      </c>
      <c r="N9" s="114">
        <f t="shared" si="1"/>
        <v>7404738.8338782694</v>
      </c>
      <c r="O9" s="114">
        <f t="shared" si="1"/>
        <v>7494145.1666545663</v>
      </c>
      <c r="P9" s="114">
        <f t="shared" si="1"/>
        <v>7590379.7639740538</v>
      </c>
    </row>
    <row r="10" spans="1:16" ht="12.75" customHeight="1" x14ac:dyDescent="0.25">
      <c r="B10" s="144"/>
      <c r="C10" s="144"/>
      <c r="E10" s="114"/>
      <c r="F10" s="114"/>
      <c r="G10" s="257"/>
      <c r="H10" s="114"/>
      <c r="I10" s="114"/>
      <c r="J10" s="114"/>
      <c r="K10" s="114"/>
      <c r="L10" s="114"/>
      <c r="M10" s="114"/>
      <c r="N10" s="114"/>
      <c r="O10" s="114"/>
      <c r="P10" s="114"/>
    </row>
    <row r="11" spans="1:16" ht="12.75" customHeight="1" x14ac:dyDescent="0.25">
      <c r="A11" s="139" t="s">
        <v>20</v>
      </c>
      <c r="B11" s="144"/>
      <c r="C11" s="144"/>
      <c r="E11" s="114"/>
      <c r="F11" s="114"/>
      <c r="G11" s="257"/>
      <c r="H11" s="114"/>
      <c r="I11" s="114"/>
      <c r="J11" s="114"/>
      <c r="K11" s="114"/>
      <c r="L11" s="114"/>
      <c r="M11" s="114"/>
      <c r="N11" s="114"/>
      <c r="O11" s="114"/>
      <c r="P11" s="114"/>
    </row>
    <row r="12" spans="1:16" ht="12.75" customHeight="1" x14ac:dyDescent="0.25">
      <c r="A12" s="134"/>
      <c r="B12" s="108" t="s">
        <v>21</v>
      </c>
      <c r="E12" s="114">
        <f>SUM('W-Rev'!E26:E40)</f>
        <v>463660.5</v>
      </c>
      <c r="F12" s="114">
        <f>SUM('W-Rev'!F26:F40)</f>
        <v>463555</v>
      </c>
      <c r="G12" s="257">
        <f>SUM('W-Rev'!G26:G40)</f>
        <v>448253</v>
      </c>
      <c r="H12" s="114">
        <f>SUM('W-Rev'!H26:H40)</f>
        <v>458489.50000000006</v>
      </c>
      <c r="I12" s="114">
        <f>SUM('W-Rev'!I26:I40)</f>
        <v>458489.50000000006</v>
      </c>
      <c r="J12" s="114">
        <f>SUM('W-Rev'!J26:J40)</f>
        <v>458489.50000000006</v>
      </c>
      <c r="K12" s="114">
        <f>SUM('W-Rev'!K26:K40)</f>
        <v>458489.50000000006</v>
      </c>
      <c r="L12" s="114">
        <f>SUM('W-Rev'!L26:L40)</f>
        <v>458489.50000000006</v>
      </c>
      <c r="M12" s="114">
        <f>SUM('W-Rev'!M26:M40)</f>
        <v>458489.50000000006</v>
      </c>
      <c r="N12" s="114">
        <f>SUM('W-Rev'!N26:N40)</f>
        <v>458489.50000000006</v>
      </c>
      <c r="O12" s="114">
        <f>SUM('W-Rev'!O26:O40)</f>
        <v>458489.50000000006</v>
      </c>
      <c r="P12" s="114">
        <f>SUM('W-Rev'!P26:P40)</f>
        <v>458489.50000000006</v>
      </c>
    </row>
    <row r="13" spans="1:16" ht="12.75" customHeight="1" x14ac:dyDescent="0.25">
      <c r="A13" s="134"/>
      <c r="B13" s="136" t="s">
        <v>101</v>
      </c>
      <c r="C13" s="136"/>
      <c r="D13" s="136"/>
      <c r="E13" s="112">
        <f>SUM('WW-Rev'!E24:E38)</f>
        <v>353829.5</v>
      </c>
      <c r="F13" s="112">
        <f>SUM('WW-Rev'!F24:F38)</f>
        <v>334695</v>
      </c>
      <c r="G13" s="259">
        <f>SUM('WW-Rev'!G24:G38)</f>
        <v>327803</v>
      </c>
      <c r="H13" s="112">
        <f>SUM('WW-Rev'!H24:H38)</f>
        <v>338775.83333333337</v>
      </c>
      <c r="I13" s="112">
        <f>SUM('WW-Rev'!I24:I38)</f>
        <v>338775.83333333337</v>
      </c>
      <c r="J13" s="112">
        <f>SUM('WW-Rev'!J24:J38)</f>
        <v>338775.83333333337</v>
      </c>
      <c r="K13" s="112">
        <f>SUM('WW-Rev'!K24:K38)</f>
        <v>338775.83333333337</v>
      </c>
      <c r="L13" s="112">
        <f>SUM('WW-Rev'!L24:L38)</f>
        <v>338775.83333333337</v>
      </c>
      <c r="M13" s="112">
        <f>SUM('WW-Rev'!M24:M38)</f>
        <v>338775.83333333337</v>
      </c>
      <c r="N13" s="112">
        <f>SUM('WW-Rev'!N24:N38)</f>
        <v>338775.83333333337</v>
      </c>
      <c r="O13" s="112">
        <f>SUM('WW-Rev'!O24:O38)</f>
        <v>338775.83333333337</v>
      </c>
      <c r="P13" s="112">
        <f>SUM('WW-Rev'!P24:P38)</f>
        <v>338775.83333333337</v>
      </c>
    </row>
    <row r="14" spans="1:16" ht="12.75" customHeight="1" x14ac:dyDescent="0.25">
      <c r="B14" s="144" t="s">
        <v>219</v>
      </c>
      <c r="C14" s="144"/>
      <c r="E14" s="114">
        <f t="shared" ref="E14:I14" si="2">SUM(E12:E13)</f>
        <v>817490</v>
      </c>
      <c r="F14" s="114">
        <f t="shared" si="2"/>
        <v>798250</v>
      </c>
      <c r="G14" s="257">
        <f t="shared" si="2"/>
        <v>776056</v>
      </c>
      <c r="H14" s="114">
        <f t="shared" si="2"/>
        <v>797265.33333333349</v>
      </c>
      <c r="I14" s="114">
        <f t="shared" si="2"/>
        <v>797265.33333333349</v>
      </c>
      <c r="J14" s="114">
        <f t="shared" ref="J14:P14" si="3">SUM(J12:J13)</f>
        <v>797265.33333333349</v>
      </c>
      <c r="K14" s="114">
        <f t="shared" si="3"/>
        <v>797265.33333333349</v>
      </c>
      <c r="L14" s="114">
        <f t="shared" si="3"/>
        <v>797265.33333333349</v>
      </c>
      <c r="M14" s="114">
        <f t="shared" si="3"/>
        <v>797265.33333333349</v>
      </c>
      <c r="N14" s="114">
        <f t="shared" si="3"/>
        <v>797265.33333333349</v>
      </c>
      <c r="O14" s="114">
        <f t="shared" si="3"/>
        <v>797265.33333333349</v>
      </c>
      <c r="P14" s="114">
        <f t="shared" si="3"/>
        <v>797265.33333333349</v>
      </c>
    </row>
    <row r="15" spans="1:16" ht="12.75" customHeight="1" x14ac:dyDescent="0.25">
      <c r="E15" s="114"/>
      <c r="F15" s="114"/>
      <c r="G15" s="257"/>
      <c r="H15" s="114"/>
      <c r="I15" s="114"/>
      <c r="J15" s="114"/>
      <c r="K15" s="114"/>
      <c r="L15" s="114"/>
      <c r="M15" s="114"/>
      <c r="N15" s="114"/>
      <c r="O15" s="114"/>
      <c r="P15" s="114"/>
    </row>
    <row r="16" spans="1:16" ht="12.75" customHeight="1" x14ac:dyDescent="0.25">
      <c r="A16" s="139" t="s">
        <v>22</v>
      </c>
      <c r="E16" s="114"/>
      <c r="F16" s="114"/>
      <c r="G16" s="257"/>
      <c r="H16" s="114"/>
      <c r="I16" s="114"/>
      <c r="J16" s="114"/>
      <c r="K16" s="114"/>
      <c r="L16" s="114"/>
      <c r="M16" s="114"/>
      <c r="N16" s="114"/>
      <c r="O16" s="114"/>
      <c r="P16" s="114"/>
    </row>
    <row r="17" spans="1:22" ht="12.75" customHeight="1" x14ac:dyDescent="0.25">
      <c r="A17" s="134"/>
      <c r="B17" s="108" t="s">
        <v>23</v>
      </c>
      <c r="E17" s="630">
        <f>Debt!E8</f>
        <v>57679.98</v>
      </c>
      <c r="F17" s="630">
        <f>Debt!F8</f>
        <v>61620</v>
      </c>
      <c r="G17" s="631">
        <f>Debt!G8</f>
        <v>61621.25</v>
      </c>
      <c r="H17" s="630">
        <f>Debt!H8</f>
        <v>61617.75</v>
      </c>
      <c r="I17" s="630">
        <f>Debt!I8</f>
        <v>61609.5</v>
      </c>
      <c r="J17" s="630">
        <f>Debt!J8</f>
        <v>61596.5</v>
      </c>
      <c r="K17" s="630">
        <f>Debt!K8</f>
        <v>61578.75</v>
      </c>
      <c r="L17" s="630">
        <f>Debt!L8</f>
        <v>61556.25</v>
      </c>
      <c r="M17" s="630">
        <f>Debt!M8</f>
        <v>61529</v>
      </c>
      <c r="N17" s="630">
        <f>Debt!N8</f>
        <v>61497</v>
      </c>
      <c r="O17" s="630">
        <f>Debt!O8</f>
        <v>61460.25</v>
      </c>
      <c r="P17" s="630">
        <f>Debt!P8</f>
        <v>61418.75</v>
      </c>
      <c r="Q17" s="432" t="s">
        <v>390</v>
      </c>
      <c r="R17" s="432"/>
    </row>
    <row r="18" spans="1:22" ht="12.75" customHeight="1" x14ac:dyDescent="0.25">
      <c r="A18" s="134"/>
      <c r="B18" s="136" t="s">
        <v>102</v>
      </c>
      <c r="C18" s="136"/>
      <c r="D18" s="136"/>
      <c r="E18" s="632">
        <f>Debt!E22</f>
        <v>57679.98</v>
      </c>
      <c r="F18" s="632">
        <f>Debt!F22</f>
        <v>61620</v>
      </c>
      <c r="G18" s="633">
        <f>Debt!G22</f>
        <v>61621.25</v>
      </c>
      <c r="H18" s="632">
        <f>Debt!H22</f>
        <v>61617.75</v>
      </c>
      <c r="I18" s="632">
        <f>Debt!I22</f>
        <v>61609.5</v>
      </c>
      <c r="J18" s="632">
        <f>Debt!J22</f>
        <v>61596.5</v>
      </c>
      <c r="K18" s="632">
        <f>Debt!K22</f>
        <v>61578.75</v>
      </c>
      <c r="L18" s="632">
        <f>Debt!L22</f>
        <v>61556.25</v>
      </c>
      <c r="M18" s="632">
        <f>Debt!M22</f>
        <v>61529</v>
      </c>
      <c r="N18" s="632">
        <f>Debt!N22</f>
        <v>61497</v>
      </c>
      <c r="O18" s="632">
        <f>Debt!O22</f>
        <v>61460.25</v>
      </c>
      <c r="P18" s="632">
        <f>Debt!P22</f>
        <v>61418.75</v>
      </c>
      <c r="Q18" s="432" t="s">
        <v>390</v>
      </c>
    </row>
    <row r="19" spans="1:22" ht="12.75" customHeight="1" x14ac:dyDescent="0.25">
      <c r="A19" s="260"/>
      <c r="B19" s="144" t="s">
        <v>219</v>
      </c>
      <c r="C19" s="144"/>
      <c r="E19" s="114">
        <f t="shared" ref="E19:I19" si="4">SUM(E17:E18)</f>
        <v>115359.96</v>
      </c>
      <c r="F19" s="114">
        <f t="shared" si="4"/>
        <v>123240</v>
      </c>
      <c r="G19" s="257">
        <f t="shared" si="4"/>
        <v>123242.5</v>
      </c>
      <c r="H19" s="114">
        <f t="shared" si="4"/>
        <v>123235.5</v>
      </c>
      <c r="I19" s="114">
        <f t="shared" si="4"/>
        <v>123219</v>
      </c>
      <c r="J19" s="114">
        <f t="shared" ref="J19:P19" si="5">SUM(J17:J18)</f>
        <v>123193</v>
      </c>
      <c r="K19" s="114">
        <f t="shared" si="5"/>
        <v>123157.5</v>
      </c>
      <c r="L19" s="114">
        <f t="shared" si="5"/>
        <v>123112.5</v>
      </c>
      <c r="M19" s="114">
        <f t="shared" si="5"/>
        <v>123058</v>
      </c>
      <c r="N19" s="114">
        <f t="shared" si="5"/>
        <v>122994</v>
      </c>
      <c r="O19" s="114">
        <f t="shared" si="5"/>
        <v>122920.5</v>
      </c>
      <c r="P19" s="114">
        <f t="shared" si="5"/>
        <v>122837.5</v>
      </c>
    </row>
    <row r="20" spans="1:22" ht="12.75" customHeight="1" thickBot="1" x14ac:dyDescent="0.3">
      <c r="A20" s="226"/>
      <c r="B20" s="226"/>
      <c r="C20" s="226"/>
      <c r="D20" s="226"/>
      <c r="E20" s="113"/>
      <c r="F20" s="113"/>
      <c r="G20" s="261"/>
      <c r="H20" s="113"/>
      <c r="I20" s="113"/>
      <c r="J20" s="113"/>
      <c r="K20" s="113"/>
      <c r="L20" s="113"/>
      <c r="M20" s="113"/>
      <c r="N20" s="113"/>
      <c r="O20" s="113"/>
      <c r="P20" s="113"/>
    </row>
    <row r="21" spans="1:22" ht="12.75" customHeight="1" thickTop="1" x14ac:dyDescent="0.25">
      <c r="A21" s="139" t="s">
        <v>68</v>
      </c>
      <c r="B21" s="139"/>
      <c r="C21" s="139"/>
      <c r="D21" s="139"/>
      <c r="E21" s="145">
        <f>SUM(E9,E14,E19)</f>
        <v>4818056.2094750004</v>
      </c>
      <c r="F21" s="145">
        <f t="shared" ref="F21:I21" si="6">SUM(F9,F14,F19)</f>
        <v>4824729.1775499992</v>
      </c>
      <c r="G21" s="175">
        <f t="shared" si="6"/>
        <v>6573199.5931909997</v>
      </c>
      <c r="H21" s="145">
        <f t="shared" si="6"/>
        <v>7830080.7619263325</v>
      </c>
      <c r="I21" s="145">
        <f t="shared" si="6"/>
        <v>7908643.4428308327</v>
      </c>
      <c r="J21" s="145">
        <f t="shared" ref="J21:P21" si="7">SUM(J9,J14,J19)</f>
        <v>7987954.7989750784</v>
      </c>
      <c r="K21" s="145">
        <f t="shared" si="7"/>
        <v>8068037.575616261</v>
      </c>
      <c r="L21" s="145">
        <f t="shared" si="7"/>
        <v>8148915.2003692891</v>
      </c>
      <c r="M21" s="145">
        <f t="shared" si="7"/>
        <v>8236534.7673345171</v>
      </c>
      <c r="N21" s="145">
        <f t="shared" si="7"/>
        <v>8324998.1672116034</v>
      </c>
      <c r="O21" s="145">
        <f t="shared" si="7"/>
        <v>8414330.9999879003</v>
      </c>
      <c r="P21" s="145">
        <f t="shared" si="7"/>
        <v>8510482.5973073877</v>
      </c>
    </row>
    <row r="22" spans="1:22" ht="12.75" customHeight="1" thickBot="1" x14ac:dyDescent="0.3">
      <c r="A22" s="115"/>
      <c r="B22" s="115"/>
      <c r="C22" s="115"/>
      <c r="D22" s="115"/>
      <c r="E22" s="115"/>
      <c r="F22" s="115"/>
      <c r="G22" s="262"/>
      <c r="H22" s="115"/>
      <c r="I22" s="115"/>
      <c r="J22" s="115"/>
      <c r="K22" s="115"/>
      <c r="L22" s="115"/>
      <c r="M22" s="115"/>
      <c r="N22" s="115"/>
      <c r="O22" s="115"/>
      <c r="P22" s="115"/>
    </row>
    <row r="23" spans="1:22" ht="12.75" customHeight="1" thickBot="1" x14ac:dyDescent="0.3">
      <c r="G23" s="429"/>
    </row>
    <row r="24" spans="1:22" ht="12.75" customHeight="1" thickBot="1" x14ac:dyDescent="0.3">
      <c r="B24" s="325"/>
      <c r="C24" s="285"/>
      <c r="D24" s="575" t="s">
        <v>304</v>
      </c>
      <c r="E24" s="287">
        <f>E21-'W-Rev'!E43-'WW-Rev'!E41</f>
        <v>0</v>
      </c>
      <c r="F24" s="286">
        <f>F21-'W-Rev'!F43-'WW-Rev'!F41</f>
        <v>0</v>
      </c>
      <c r="G24" s="286">
        <f>G21-'W-Rev'!G43-'WW-Rev'!G41</f>
        <v>0</v>
      </c>
    </row>
    <row r="27" spans="1:22" ht="12.75" customHeight="1" x14ac:dyDescent="0.25">
      <c r="A27" s="139" t="s">
        <v>300</v>
      </c>
    </row>
    <row r="28" spans="1:22" ht="12.75" customHeight="1" x14ac:dyDescent="0.25">
      <c r="A28" s="363" t="s">
        <v>67</v>
      </c>
    </row>
    <row r="29" spans="1:22" ht="12.75" customHeight="1" thickBot="1" x14ac:dyDescent="0.3">
      <c r="A29" s="78" t="s">
        <v>428</v>
      </c>
    </row>
    <row r="30" spans="1:22" ht="12.75" customHeight="1" x14ac:dyDescent="0.25">
      <c r="A30" s="646" t="s">
        <v>215</v>
      </c>
      <c r="B30" s="646"/>
      <c r="C30" s="646"/>
      <c r="D30" s="242"/>
      <c r="E30" s="281">
        <f>Sum!E$5</f>
        <v>2023</v>
      </c>
      <c r="F30" s="281">
        <f>Sum!F$5</f>
        <v>2024</v>
      </c>
      <c r="G30" s="282">
        <f>Sum!G$5</f>
        <v>2025</v>
      </c>
      <c r="H30" s="281">
        <f>Sum!H$5</f>
        <v>2026</v>
      </c>
      <c r="I30" s="281">
        <f>Sum!I$5</f>
        <v>2027</v>
      </c>
      <c r="J30" s="281">
        <f>Sum!J$5</f>
        <v>2028</v>
      </c>
      <c r="K30" s="281">
        <f>Sum!K$5</f>
        <v>2029</v>
      </c>
      <c r="L30" s="281">
        <f>Sum!L$5</f>
        <v>2030</v>
      </c>
      <c r="M30" s="281">
        <f>Sum!M$5</f>
        <v>2031</v>
      </c>
      <c r="N30" s="281">
        <f>Sum!N$5</f>
        <v>2032</v>
      </c>
      <c r="O30" s="281">
        <f>Sum!O$5</f>
        <v>2033</v>
      </c>
      <c r="P30" s="281">
        <f>Sum!P$5</f>
        <v>2034</v>
      </c>
      <c r="R30" s="281" t="s">
        <v>294</v>
      </c>
      <c r="S30" s="281" t="s">
        <v>301</v>
      </c>
      <c r="U30" s="570" t="s">
        <v>302</v>
      </c>
      <c r="V30" s="570"/>
    </row>
    <row r="31" spans="1:22" ht="12.75" customHeight="1" x14ac:dyDescent="0.25">
      <c r="A31" s="16"/>
      <c r="B31" s="16"/>
      <c r="C31" s="16"/>
      <c r="D31" s="16"/>
      <c r="E31" s="120"/>
      <c r="F31" s="120"/>
      <c r="G31" s="561"/>
      <c r="H31" s="120"/>
      <c r="I31" s="120"/>
      <c r="J31" s="120"/>
      <c r="K31" s="120"/>
      <c r="L31" s="120"/>
      <c r="M31" s="120"/>
      <c r="N31" s="120"/>
      <c r="O31" s="120"/>
      <c r="P31" s="120"/>
    </row>
    <row r="32" spans="1:22" ht="12.75" customHeight="1" x14ac:dyDescent="0.25">
      <c r="A32" s="139" t="s">
        <v>186</v>
      </c>
      <c r="G32" s="562"/>
      <c r="R32" s="568"/>
      <c r="S32" s="568"/>
    </row>
    <row r="33" spans="1:21" ht="12.75" customHeight="1" x14ac:dyDescent="0.25">
      <c r="A33" s="432"/>
      <c r="B33" s="432" t="s">
        <v>374</v>
      </c>
      <c r="E33" s="601">
        <v>22407</v>
      </c>
      <c r="F33" s="601">
        <v>22530</v>
      </c>
      <c r="G33" s="628">
        <v>15000</v>
      </c>
      <c r="H33" s="579">
        <f>AVERAGE(E33:G33)</f>
        <v>19979</v>
      </c>
      <c r="I33" s="579">
        <f>H33</f>
        <v>19979</v>
      </c>
      <c r="J33" s="579">
        <f t="shared" ref="J33:P33" si="8">I33</f>
        <v>19979</v>
      </c>
      <c r="K33" s="579">
        <f t="shared" si="8"/>
        <v>19979</v>
      </c>
      <c r="L33" s="579">
        <f t="shared" si="8"/>
        <v>19979</v>
      </c>
      <c r="M33" s="579">
        <f t="shared" si="8"/>
        <v>19979</v>
      </c>
      <c r="N33" s="579">
        <f t="shared" si="8"/>
        <v>19979</v>
      </c>
      <c r="O33" s="579">
        <f t="shared" si="8"/>
        <v>19979</v>
      </c>
      <c r="P33" s="579">
        <f t="shared" si="8"/>
        <v>19979</v>
      </c>
      <c r="R33" s="569">
        <v>1</v>
      </c>
      <c r="S33" s="568">
        <f>1-R33</f>
        <v>0</v>
      </c>
      <c r="U33" s="432" t="s">
        <v>303</v>
      </c>
    </row>
    <row r="34" spans="1:21" ht="12.75" customHeight="1" x14ac:dyDescent="0.25">
      <c r="A34" s="432"/>
      <c r="B34" s="432" t="s">
        <v>375</v>
      </c>
      <c r="D34" s="260"/>
      <c r="E34" s="601">
        <v>567052</v>
      </c>
      <c r="F34" s="601">
        <v>571841</v>
      </c>
      <c r="G34" s="628">
        <v>550000</v>
      </c>
      <c r="H34" s="579">
        <f>AVERAGE(E34:G34)</f>
        <v>562964.33333333337</v>
      </c>
      <c r="I34" s="579">
        <f>H34</f>
        <v>562964.33333333337</v>
      </c>
      <c r="J34" s="579">
        <f t="shared" ref="J34" si="9">I34</f>
        <v>562964.33333333337</v>
      </c>
      <c r="K34" s="579">
        <f t="shared" ref="K34" si="10">J34</f>
        <v>562964.33333333337</v>
      </c>
      <c r="L34" s="579">
        <f t="shared" ref="L34" si="11">K34</f>
        <v>562964.33333333337</v>
      </c>
      <c r="M34" s="579">
        <f t="shared" ref="M34" si="12">L34</f>
        <v>562964.33333333337</v>
      </c>
      <c r="N34" s="579">
        <f t="shared" ref="N34" si="13">M34</f>
        <v>562964.33333333337</v>
      </c>
      <c r="O34" s="579">
        <f t="shared" ref="O34" si="14">N34</f>
        <v>562964.33333333337</v>
      </c>
      <c r="P34" s="579">
        <f t="shared" ref="P34" si="15">O34</f>
        <v>562964.33333333337</v>
      </c>
      <c r="R34" s="569">
        <v>0.5</v>
      </c>
      <c r="S34" s="568">
        <f t="shared" ref="S34:S41" si="16">1-R34</f>
        <v>0.5</v>
      </c>
      <c r="U34" s="432" t="s">
        <v>303</v>
      </c>
    </row>
    <row r="35" spans="1:21" ht="12.75" customHeight="1" x14ac:dyDescent="0.25">
      <c r="A35" s="432"/>
      <c r="B35" s="432" t="s">
        <v>376</v>
      </c>
      <c r="D35" s="260"/>
      <c r="E35" s="601">
        <v>1880</v>
      </c>
      <c r="F35" s="601">
        <v>2880</v>
      </c>
      <c r="G35" s="628">
        <v>2000</v>
      </c>
      <c r="H35" s="579">
        <f t="shared" ref="H35:H36" si="17">AVERAGE(E35:G35)</f>
        <v>2253.3333333333335</v>
      </c>
      <c r="I35" s="579">
        <f t="shared" ref="I35" si="18">H35</f>
        <v>2253.3333333333335</v>
      </c>
      <c r="J35" s="579">
        <f t="shared" ref="J35:J47" si="19">I35</f>
        <v>2253.3333333333335</v>
      </c>
      <c r="K35" s="579">
        <f t="shared" ref="K35:K47" si="20">J35</f>
        <v>2253.3333333333335</v>
      </c>
      <c r="L35" s="579">
        <f t="shared" ref="L35:L47" si="21">K35</f>
        <v>2253.3333333333335</v>
      </c>
      <c r="M35" s="579">
        <f t="shared" ref="M35:M47" si="22">L35</f>
        <v>2253.3333333333335</v>
      </c>
      <c r="N35" s="579">
        <f t="shared" ref="N35:N47" si="23">M35</f>
        <v>2253.3333333333335</v>
      </c>
      <c r="O35" s="579">
        <f t="shared" ref="O35:O47" si="24">N35</f>
        <v>2253.3333333333335</v>
      </c>
      <c r="P35" s="579">
        <f t="shared" ref="P35:P47" si="25">O35</f>
        <v>2253.3333333333335</v>
      </c>
      <c r="R35" s="569">
        <v>1</v>
      </c>
      <c r="S35" s="568">
        <f t="shared" si="16"/>
        <v>0</v>
      </c>
      <c r="U35" s="432" t="s">
        <v>303</v>
      </c>
    </row>
    <row r="36" spans="1:21" ht="12.75" customHeight="1" x14ac:dyDescent="0.25">
      <c r="A36" s="432"/>
      <c r="B36" s="432" t="s">
        <v>377</v>
      </c>
      <c r="D36" s="260"/>
      <c r="E36" s="601">
        <v>7525</v>
      </c>
      <c r="F36" s="601">
        <v>4700</v>
      </c>
      <c r="G36" s="628">
        <v>12000</v>
      </c>
      <c r="H36" s="579">
        <f t="shared" si="17"/>
        <v>8075</v>
      </c>
      <c r="I36" s="579">
        <f t="shared" ref="I36" si="26">H36</f>
        <v>8075</v>
      </c>
      <c r="J36" s="579">
        <f t="shared" si="19"/>
        <v>8075</v>
      </c>
      <c r="K36" s="579">
        <f t="shared" si="20"/>
        <v>8075</v>
      </c>
      <c r="L36" s="579">
        <f t="shared" si="21"/>
        <v>8075</v>
      </c>
      <c r="M36" s="579">
        <f t="shared" si="22"/>
        <v>8075</v>
      </c>
      <c r="N36" s="579">
        <f t="shared" si="23"/>
        <v>8075</v>
      </c>
      <c r="O36" s="579">
        <f t="shared" si="24"/>
        <v>8075</v>
      </c>
      <c r="P36" s="579">
        <f t="shared" si="25"/>
        <v>8075</v>
      </c>
      <c r="R36" s="569">
        <v>0.5</v>
      </c>
      <c r="S36" s="568">
        <f t="shared" si="16"/>
        <v>0.5</v>
      </c>
      <c r="U36" s="432" t="s">
        <v>303</v>
      </c>
    </row>
    <row r="37" spans="1:21" ht="12.75" customHeight="1" x14ac:dyDescent="0.25">
      <c r="A37" s="432"/>
      <c r="B37" s="432" t="s">
        <v>378</v>
      </c>
      <c r="D37" s="260"/>
      <c r="E37" s="601">
        <v>5950</v>
      </c>
      <c r="F37" s="601">
        <v>3275</v>
      </c>
      <c r="G37" s="628">
        <f t="shared" ref="G37:G40" si="27">F37</f>
        <v>3275</v>
      </c>
      <c r="H37" s="579">
        <f>AVERAGE(E37:G37)</f>
        <v>4166.666666666667</v>
      </c>
      <c r="I37" s="579">
        <f>H37</f>
        <v>4166.666666666667</v>
      </c>
      <c r="J37" s="579">
        <f t="shared" si="19"/>
        <v>4166.666666666667</v>
      </c>
      <c r="K37" s="579">
        <f t="shared" si="20"/>
        <v>4166.666666666667</v>
      </c>
      <c r="L37" s="579">
        <f t="shared" si="21"/>
        <v>4166.666666666667</v>
      </c>
      <c r="M37" s="579">
        <f t="shared" si="22"/>
        <v>4166.666666666667</v>
      </c>
      <c r="N37" s="579">
        <f t="shared" si="23"/>
        <v>4166.666666666667</v>
      </c>
      <c r="O37" s="579">
        <f t="shared" si="24"/>
        <v>4166.666666666667</v>
      </c>
      <c r="P37" s="579">
        <f t="shared" si="25"/>
        <v>4166.666666666667</v>
      </c>
      <c r="R37" s="569">
        <v>1</v>
      </c>
      <c r="S37" s="568">
        <f t="shared" si="16"/>
        <v>0</v>
      </c>
      <c r="U37" s="432" t="s">
        <v>303</v>
      </c>
    </row>
    <row r="38" spans="1:21" ht="12.75" customHeight="1" x14ac:dyDescent="0.25">
      <c r="A38" s="432"/>
      <c r="B38" s="432" t="s">
        <v>264</v>
      </c>
      <c r="D38" s="260"/>
      <c r="E38" s="601">
        <v>20</v>
      </c>
      <c r="F38" s="601">
        <v>143</v>
      </c>
      <c r="G38" s="628">
        <v>100</v>
      </c>
      <c r="H38" s="579">
        <f t="shared" ref="H38:H41" si="28">AVERAGE(E38:G38)</f>
        <v>87.666666666666671</v>
      </c>
      <c r="I38" s="579">
        <f t="shared" ref="I38" si="29">H38</f>
        <v>87.666666666666671</v>
      </c>
      <c r="J38" s="579">
        <f t="shared" si="19"/>
        <v>87.666666666666671</v>
      </c>
      <c r="K38" s="579">
        <f t="shared" si="20"/>
        <v>87.666666666666671</v>
      </c>
      <c r="L38" s="579">
        <f t="shared" si="21"/>
        <v>87.666666666666671</v>
      </c>
      <c r="M38" s="579">
        <f t="shared" si="22"/>
        <v>87.666666666666671</v>
      </c>
      <c r="N38" s="579">
        <f t="shared" si="23"/>
        <v>87.666666666666671</v>
      </c>
      <c r="O38" s="579">
        <f t="shared" si="24"/>
        <v>87.666666666666671</v>
      </c>
      <c r="P38" s="579">
        <f t="shared" si="25"/>
        <v>87.666666666666671</v>
      </c>
      <c r="R38" s="569">
        <v>0.5</v>
      </c>
      <c r="S38" s="568">
        <f t="shared" si="16"/>
        <v>0.5</v>
      </c>
      <c r="U38" s="432" t="s">
        <v>303</v>
      </c>
    </row>
    <row r="39" spans="1:21" ht="12.75" customHeight="1" x14ac:dyDescent="0.25">
      <c r="A39" s="432"/>
      <c r="B39" s="432" t="s">
        <v>379</v>
      </c>
      <c r="D39" s="260"/>
      <c r="E39" s="601">
        <v>79594</v>
      </c>
      <c r="F39" s="601">
        <v>100175</v>
      </c>
      <c r="G39" s="628">
        <f t="shared" si="27"/>
        <v>100175</v>
      </c>
      <c r="H39" s="579">
        <f t="shared" si="28"/>
        <v>93314.666666666672</v>
      </c>
      <c r="I39" s="579">
        <f t="shared" ref="I39" si="30">H39</f>
        <v>93314.666666666672</v>
      </c>
      <c r="J39" s="579">
        <f t="shared" si="19"/>
        <v>93314.666666666672</v>
      </c>
      <c r="K39" s="579">
        <f t="shared" si="20"/>
        <v>93314.666666666672</v>
      </c>
      <c r="L39" s="579">
        <f t="shared" si="21"/>
        <v>93314.666666666672</v>
      </c>
      <c r="M39" s="579">
        <f t="shared" si="22"/>
        <v>93314.666666666672</v>
      </c>
      <c r="N39" s="579">
        <f t="shared" si="23"/>
        <v>93314.666666666672</v>
      </c>
      <c r="O39" s="579">
        <f t="shared" si="24"/>
        <v>93314.666666666672</v>
      </c>
      <c r="P39" s="579">
        <f t="shared" si="25"/>
        <v>93314.666666666672</v>
      </c>
      <c r="R39" s="569">
        <v>1</v>
      </c>
      <c r="S39" s="568">
        <f t="shared" si="16"/>
        <v>0</v>
      </c>
      <c r="U39" s="432" t="s">
        <v>303</v>
      </c>
    </row>
    <row r="40" spans="1:21" ht="12.75" customHeight="1" x14ac:dyDescent="0.25">
      <c r="A40" s="432"/>
      <c r="B40" s="432" t="s">
        <v>380</v>
      </c>
      <c r="D40" s="260"/>
      <c r="E40" s="601">
        <v>132262</v>
      </c>
      <c r="F40" s="601">
        <v>92706</v>
      </c>
      <c r="G40" s="628">
        <f t="shared" si="27"/>
        <v>92706</v>
      </c>
      <c r="H40" s="579">
        <f t="shared" si="28"/>
        <v>105891.33333333333</v>
      </c>
      <c r="I40" s="579">
        <f t="shared" ref="I40" si="31">H40</f>
        <v>105891.33333333333</v>
      </c>
      <c r="J40" s="579">
        <f t="shared" si="19"/>
        <v>105891.33333333333</v>
      </c>
      <c r="K40" s="579">
        <f t="shared" si="20"/>
        <v>105891.33333333333</v>
      </c>
      <c r="L40" s="579">
        <f t="shared" si="21"/>
        <v>105891.33333333333</v>
      </c>
      <c r="M40" s="579">
        <f t="shared" si="22"/>
        <v>105891.33333333333</v>
      </c>
      <c r="N40" s="579">
        <f t="shared" si="23"/>
        <v>105891.33333333333</v>
      </c>
      <c r="O40" s="579">
        <f t="shared" si="24"/>
        <v>105891.33333333333</v>
      </c>
      <c r="P40" s="579">
        <f t="shared" si="25"/>
        <v>105891.33333333333</v>
      </c>
      <c r="R40" s="569">
        <v>0.5</v>
      </c>
      <c r="S40" s="568">
        <f t="shared" si="16"/>
        <v>0.5</v>
      </c>
      <c r="U40" s="432" t="s">
        <v>303</v>
      </c>
    </row>
    <row r="41" spans="1:21" ht="12.75" customHeight="1" x14ac:dyDescent="0.25">
      <c r="A41" s="432"/>
      <c r="B41" s="432" t="s">
        <v>381</v>
      </c>
      <c r="D41" s="260"/>
      <c r="E41" s="601">
        <v>800</v>
      </c>
      <c r="F41" s="601">
        <v>0</v>
      </c>
      <c r="G41" s="628">
        <v>800</v>
      </c>
      <c r="H41" s="579">
        <f t="shared" si="28"/>
        <v>533.33333333333337</v>
      </c>
      <c r="I41" s="579">
        <f t="shared" ref="I41" si="32">H41</f>
        <v>533.33333333333337</v>
      </c>
      <c r="J41" s="579">
        <f t="shared" si="19"/>
        <v>533.33333333333337</v>
      </c>
      <c r="K41" s="579">
        <f t="shared" si="20"/>
        <v>533.33333333333337</v>
      </c>
      <c r="L41" s="579">
        <f t="shared" si="21"/>
        <v>533.33333333333337</v>
      </c>
      <c r="M41" s="579">
        <f t="shared" si="22"/>
        <v>533.33333333333337</v>
      </c>
      <c r="N41" s="579">
        <f t="shared" si="23"/>
        <v>533.33333333333337</v>
      </c>
      <c r="O41" s="579">
        <f t="shared" si="24"/>
        <v>533.33333333333337</v>
      </c>
      <c r="P41" s="579">
        <f t="shared" si="25"/>
        <v>533.33333333333337</v>
      </c>
      <c r="R41" s="569">
        <v>0.5</v>
      </c>
      <c r="S41" s="568">
        <f t="shared" si="16"/>
        <v>0.5</v>
      </c>
      <c r="U41" s="432" t="s">
        <v>303</v>
      </c>
    </row>
    <row r="42" spans="1:21" ht="12.75" customHeight="1" x14ac:dyDescent="0.25">
      <c r="A42" s="432"/>
      <c r="B42" s="432" t="s">
        <v>299</v>
      </c>
      <c r="D42" s="260"/>
      <c r="E42" s="601">
        <v>0</v>
      </c>
      <c r="F42" s="601">
        <v>0</v>
      </c>
      <c r="G42" s="628">
        <v>0</v>
      </c>
      <c r="H42" s="579">
        <f t="shared" ref="H42:H47" si="33">AVERAGE(E42:G42)</f>
        <v>0</v>
      </c>
      <c r="I42" s="579">
        <f t="shared" ref="I42" si="34">H42</f>
        <v>0</v>
      </c>
      <c r="J42" s="579">
        <f t="shared" si="19"/>
        <v>0</v>
      </c>
      <c r="K42" s="579">
        <f t="shared" si="20"/>
        <v>0</v>
      </c>
      <c r="L42" s="579">
        <f t="shared" si="21"/>
        <v>0</v>
      </c>
      <c r="M42" s="579">
        <f t="shared" si="22"/>
        <v>0</v>
      </c>
      <c r="N42" s="579">
        <f t="shared" si="23"/>
        <v>0</v>
      </c>
      <c r="O42" s="579">
        <f t="shared" si="24"/>
        <v>0</v>
      </c>
      <c r="P42" s="579">
        <f t="shared" si="25"/>
        <v>0</v>
      </c>
      <c r="R42" s="569">
        <v>0.5</v>
      </c>
      <c r="S42" s="568">
        <f t="shared" ref="S42:S47" si="35">1-R42</f>
        <v>0.5</v>
      </c>
      <c r="U42" s="432" t="s">
        <v>303</v>
      </c>
    </row>
    <row r="43" spans="1:21" ht="12.75" customHeight="1" x14ac:dyDescent="0.25">
      <c r="A43" s="432"/>
      <c r="B43" s="432" t="s">
        <v>299</v>
      </c>
      <c r="D43" s="260"/>
      <c r="E43" s="601">
        <v>0</v>
      </c>
      <c r="F43" s="601">
        <v>0</v>
      </c>
      <c r="G43" s="628">
        <v>0</v>
      </c>
      <c r="H43" s="579">
        <f t="shared" si="33"/>
        <v>0</v>
      </c>
      <c r="I43" s="579">
        <f t="shared" ref="I43" si="36">H43</f>
        <v>0</v>
      </c>
      <c r="J43" s="579">
        <f t="shared" si="19"/>
        <v>0</v>
      </c>
      <c r="K43" s="579">
        <f t="shared" si="20"/>
        <v>0</v>
      </c>
      <c r="L43" s="579">
        <f t="shared" si="21"/>
        <v>0</v>
      </c>
      <c r="M43" s="579">
        <f t="shared" si="22"/>
        <v>0</v>
      </c>
      <c r="N43" s="579">
        <f t="shared" si="23"/>
        <v>0</v>
      </c>
      <c r="O43" s="579">
        <f t="shared" si="24"/>
        <v>0</v>
      </c>
      <c r="P43" s="579">
        <f t="shared" si="25"/>
        <v>0</v>
      </c>
      <c r="R43" s="569">
        <v>0.5</v>
      </c>
      <c r="S43" s="568">
        <f t="shared" si="35"/>
        <v>0.5</v>
      </c>
      <c r="U43" s="432" t="s">
        <v>303</v>
      </c>
    </row>
    <row r="44" spans="1:21" ht="12.75" customHeight="1" x14ac:dyDescent="0.25">
      <c r="A44" s="432"/>
      <c r="B44" s="432" t="s">
        <v>299</v>
      </c>
      <c r="D44" s="260"/>
      <c r="E44" s="601">
        <v>0</v>
      </c>
      <c r="F44" s="601">
        <v>0</v>
      </c>
      <c r="G44" s="628">
        <f>F44</f>
        <v>0</v>
      </c>
      <c r="H44" s="579">
        <f t="shared" si="33"/>
        <v>0</v>
      </c>
      <c r="I44" s="579">
        <f>H44*0.75</f>
        <v>0</v>
      </c>
      <c r="J44" s="579">
        <f t="shared" si="19"/>
        <v>0</v>
      </c>
      <c r="K44" s="579">
        <f t="shared" si="20"/>
        <v>0</v>
      </c>
      <c r="L44" s="579">
        <f t="shared" si="21"/>
        <v>0</v>
      </c>
      <c r="M44" s="579">
        <f t="shared" si="22"/>
        <v>0</v>
      </c>
      <c r="N44" s="579">
        <f t="shared" si="23"/>
        <v>0</v>
      </c>
      <c r="O44" s="579">
        <f t="shared" si="24"/>
        <v>0</v>
      </c>
      <c r="P44" s="579">
        <f t="shared" si="25"/>
        <v>0</v>
      </c>
      <c r="R44" s="569">
        <v>0.5</v>
      </c>
      <c r="S44" s="568">
        <f t="shared" si="35"/>
        <v>0.5</v>
      </c>
      <c r="U44" s="432" t="s">
        <v>303</v>
      </c>
    </row>
    <row r="45" spans="1:21" ht="12.75" customHeight="1" x14ac:dyDescent="0.25">
      <c r="A45" s="432"/>
      <c r="B45" s="432" t="s">
        <v>299</v>
      </c>
      <c r="D45" s="260"/>
      <c r="E45" s="601">
        <v>0</v>
      </c>
      <c r="F45" s="601">
        <v>0</v>
      </c>
      <c r="G45" s="628">
        <f>F45</f>
        <v>0</v>
      </c>
      <c r="H45" s="579">
        <f t="shared" si="33"/>
        <v>0</v>
      </c>
      <c r="I45" s="579">
        <f t="shared" ref="I45" si="37">H45</f>
        <v>0</v>
      </c>
      <c r="J45" s="579">
        <f t="shared" si="19"/>
        <v>0</v>
      </c>
      <c r="K45" s="579">
        <f t="shared" si="20"/>
        <v>0</v>
      </c>
      <c r="L45" s="579">
        <f t="shared" si="21"/>
        <v>0</v>
      </c>
      <c r="M45" s="579">
        <f t="shared" si="22"/>
        <v>0</v>
      </c>
      <c r="N45" s="579">
        <f t="shared" si="23"/>
        <v>0</v>
      </c>
      <c r="O45" s="579">
        <f t="shared" si="24"/>
        <v>0</v>
      </c>
      <c r="P45" s="579">
        <f t="shared" si="25"/>
        <v>0</v>
      </c>
      <c r="R45" s="569">
        <v>0.5</v>
      </c>
      <c r="S45" s="568">
        <f t="shared" si="35"/>
        <v>0.5</v>
      </c>
      <c r="U45" s="432" t="s">
        <v>303</v>
      </c>
    </row>
    <row r="46" spans="1:21" ht="12.75" customHeight="1" x14ac:dyDescent="0.25">
      <c r="A46" s="432"/>
      <c r="B46" s="432" t="s">
        <v>299</v>
      </c>
      <c r="D46" s="260"/>
      <c r="E46" s="601">
        <v>0</v>
      </c>
      <c r="F46" s="601">
        <v>0</v>
      </c>
      <c r="G46" s="628">
        <f>F46</f>
        <v>0</v>
      </c>
      <c r="H46" s="579">
        <f>AVERAGE(E46:G46)*0.5</f>
        <v>0</v>
      </c>
      <c r="I46" s="579">
        <f t="shared" ref="I46" si="38">H46</f>
        <v>0</v>
      </c>
      <c r="J46" s="579">
        <f t="shared" si="19"/>
        <v>0</v>
      </c>
      <c r="K46" s="579">
        <f t="shared" si="20"/>
        <v>0</v>
      </c>
      <c r="L46" s="579">
        <f t="shared" si="21"/>
        <v>0</v>
      </c>
      <c r="M46" s="579">
        <f t="shared" si="22"/>
        <v>0</v>
      </c>
      <c r="N46" s="579">
        <f t="shared" si="23"/>
        <v>0</v>
      </c>
      <c r="O46" s="579">
        <f t="shared" si="24"/>
        <v>0</v>
      </c>
      <c r="P46" s="579">
        <f t="shared" si="25"/>
        <v>0</v>
      </c>
      <c r="R46" s="569">
        <v>0.5</v>
      </c>
      <c r="S46" s="568">
        <f t="shared" si="35"/>
        <v>0.5</v>
      </c>
      <c r="U46" s="432" t="s">
        <v>303</v>
      </c>
    </row>
    <row r="47" spans="1:21" ht="12.75" customHeight="1" x14ac:dyDescent="0.25">
      <c r="A47" s="432"/>
      <c r="B47" s="432" t="s">
        <v>299</v>
      </c>
      <c r="D47" s="260"/>
      <c r="E47" s="601">
        <v>0</v>
      </c>
      <c r="F47" s="601">
        <v>0</v>
      </c>
      <c r="G47" s="628">
        <v>0</v>
      </c>
      <c r="H47" s="579">
        <f t="shared" si="33"/>
        <v>0</v>
      </c>
      <c r="I47" s="579">
        <f t="shared" ref="I47" si="39">H47</f>
        <v>0</v>
      </c>
      <c r="J47" s="579">
        <f t="shared" si="19"/>
        <v>0</v>
      </c>
      <c r="K47" s="579">
        <f t="shared" si="20"/>
        <v>0</v>
      </c>
      <c r="L47" s="579">
        <f t="shared" si="21"/>
        <v>0</v>
      </c>
      <c r="M47" s="579">
        <f t="shared" si="22"/>
        <v>0</v>
      </c>
      <c r="N47" s="579">
        <f t="shared" si="23"/>
        <v>0</v>
      </c>
      <c r="O47" s="579">
        <f t="shared" si="24"/>
        <v>0</v>
      </c>
      <c r="P47" s="579">
        <f t="shared" si="25"/>
        <v>0</v>
      </c>
      <c r="R47" s="569">
        <v>0.5</v>
      </c>
      <c r="S47" s="568">
        <f t="shared" si="35"/>
        <v>0.5</v>
      </c>
      <c r="U47" s="432" t="s">
        <v>303</v>
      </c>
    </row>
    <row r="48" spans="1:21" ht="12.75" customHeight="1" thickBot="1" x14ac:dyDescent="0.3">
      <c r="B48" s="226"/>
      <c r="C48" s="226"/>
      <c r="D48" s="226"/>
      <c r="E48" s="564"/>
      <c r="F48" s="564"/>
      <c r="G48" s="565"/>
      <c r="H48" s="564"/>
      <c r="I48" s="564"/>
      <c r="J48" s="564"/>
      <c r="K48" s="564"/>
      <c r="L48" s="564"/>
      <c r="M48" s="564"/>
      <c r="N48" s="564"/>
      <c r="O48" s="564"/>
      <c r="P48" s="564"/>
      <c r="R48" s="568"/>
      <c r="S48" s="568"/>
    </row>
    <row r="49" spans="1:19" ht="12.75" customHeight="1" thickTop="1" thickBot="1" x14ac:dyDescent="0.3">
      <c r="A49" s="115"/>
      <c r="B49" s="115"/>
      <c r="C49" s="115"/>
      <c r="D49" s="571" t="s">
        <v>334</v>
      </c>
      <c r="E49" s="572">
        <f t="shared" ref="E49:I49" si="40">SUM(E33:E47)</f>
        <v>817490</v>
      </c>
      <c r="F49" s="572">
        <f t="shared" si="40"/>
        <v>798250</v>
      </c>
      <c r="G49" s="573">
        <f t="shared" si="40"/>
        <v>776056</v>
      </c>
      <c r="H49" s="572">
        <f t="shared" si="40"/>
        <v>797265.33333333337</v>
      </c>
      <c r="I49" s="572">
        <f t="shared" si="40"/>
        <v>797265.33333333337</v>
      </c>
      <c r="J49" s="572">
        <f t="shared" ref="J49:P49" si="41">SUM(J33:J47)</f>
        <v>797265.33333333337</v>
      </c>
      <c r="K49" s="572">
        <f t="shared" si="41"/>
        <v>797265.33333333337</v>
      </c>
      <c r="L49" s="572">
        <f t="shared" si="41"/>
        <v>797265.33333333337</v>
      </c>
      <c r="M49" s="572">
        <f t="shared" si="41"/>
        <v>797265.33333333337</v>
      </c>
      <c r="N49" s="572">
        <f t="shared" si="41"/>
        <v>797265.33333333337</v>
      </c>
      <c r="O49" s="572">
        <f t="shared" si="41"/>
        <v>797265.33333333337</v>
      </c>
      <c r="P49" s="572">
        <f t="shared" si="41"/>
        <v>797265.33333333337</v>
      </c>
      <c r="R49" s="568"/>
      <c r="S49" s="568"/>
    </row>
  </sheetData>
  <mergeCells count="2">
    <mergeCell ref="A4:C4"/>
    <mergeCell ref="A30:C30"/>
  </mergeCells>
  <phoneticPr fontId="13" type="noConversion"/>
  <pageMargins left="0.75" right="0.75" top="1" bottom="1" header="0.5" footer="0.5"/>
  <pageSetup scale="68"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2"/>
  </sheetPr>
  <dimension ref="A1:W249"/>
  <sheetViews>
    <sheetView zoomScale="98" zoomScaleNormal="100" workbookViewId="0">
      <selection activeCell="A158" sqref="A158"/>
    </sheetView>
  </sheetViews>
  <sheetFormatPr defaultColWidth="9.109375" defaultRowHeight="12.75" customHeight="1" x14ac:dyDescent="0.25"/>
  <cols>
    <col min="1" max="1" width="11.6640625" style="108" customWidth="1"/>
    <col min="2" max="2" width="10.6640625" style="108" customWidth="1"/>
    <col min="3" max="3" width="13.109375" style="108" customWidth="1"/>
    <col min="4" max="4" width="10.6640625" style="108" customWidth="1"/>
    <col min="5" max="5" width="14.33203125" style="108" bestFit="1" customWidth="1"/>
    <col min="6" max="16" width="12.6640625" style="108" customWidth="1"/>
    <col min="17" max="18" width="11.5546875" style="108" bestFit="1" customWidth="1"/>
    <col min="19" max="16384" width="9.109375" style="108"/>
  </cols>
  <sheetData>
    <row r="1" spans="1:23" ht="12.75" customHeight="1" x14ac:dyDescent="0.25">
      <c r="A1" s="139" t="s">
        <v>243</v>
      </c>
      <c r="D1" s="3"/>
      <c r="J1" s="63"/>
      <c r="K1" s="63"/>
    </row>
    <row r="2" spans="1:23" ht="12.75" customHeight="1" x14ac:dyDescent="0.25">
      <c r="A2" s="139" t="s">
        <v>17</v>
      </c>
    </row>
    <row r="3" spans="1:23" ht="12.75" customHeight="1" x14ac:dyDescent="0.25">
      <c r="A3" s="139" t="s">
        <v>265</v>
      </c>
      <c r="D3" s="256"/>
    </row>
    <row r="4" spans="1:23" ht="12.75" customHeight="1" thickBot="1" x14ac:dyDescent="0.3">
      <c r="A4" s="78" t="s">
        <v>428</v>
      </c>
      <c r="B4" s="115"/>
      <c r="C4" s="115"/>
      <c r="D4" s="115"/>
      <c r="E4" s="115"/>
      <c r="F4" s="115"/>
      <c r="G4" s="115"/>
      <c r="H4" s="115"/>
      <c r="I4" s="115"/>
      <c r="J4" s="115"/>
    </row>
    <row r="5" spans="1:23" ht="12.75" customHeight="1" x14ac:dyDescent="0.25">
      <c r="A5" s="645" t="s">
        <v>215</v>
      </c>
      <c r="B5" s="645"/>
      <c r="C5" s="645"/>
      <c r="D5" s="214"/>
      <c r="E5" s="215">
        <f>Sum!E$5</f>
        <v>2023</v>
      </c>
      <c r="F5" s="215">
        <f>Sum!F$5</f>
        <v>2024</v>
      </c>
      <c r="G5" s="216">
        <f>Sum!G$5</f>
        <v>2025</v>
      </c>
      <c r="H5" s="215">
        <f>Sum!H$5</f>
        <v>2026</v>
      </c>
      <c r="I5" s="215">
        <f>Sum!I$5</f>
        <v>2027</v>
      </c>
      <c r="J5" s="215">
        <f>Sum!J$5</f>
        <v>2028</v>
      </c>
      <c r="K5" s="281">
        <f>Sum!K$5</f>
        <v>2029</v>
      </c>
      <c r="L5" s="281">
        <f>Sum!L$5</f>
        <v>2030</v>
      </c>
      <c r="M5" s="281">
        <f>Sum!M$5</f>
        <v>2031</v>
      </c>
      <c r="N5" s="281">
        <f>Sum!N$5</f>
        <v>2032</v>
      </c>
      <c r="O5" s="281">
        <f>Sum!O$5</f>
        <v>2033</v>
      </c>
      <c r="P5" s="281">
        <f>Sum!P$5</f>
        <v>2034</v>
      </c>
    </row>
    <row r="6" spans="1:23" ht="12.75" customHeight="1" x14ac:dyDescent="0.25">
      <c r="G6" s="255"/>
    </row>
    <row r="7" spans="1:23" ht="12.75" customHeight="1" x14ac:dyDescent="0.25">
      <c r="A7" s="139" t="s">
        <v>18</v>
      </c>
      <c r="G7" s="255"/>
    </row>
    <row r="8" spans="1:23" ht="12.75" customHeight="1" x14ac:dyDescent="0.25">
      <c r="A8" s="139"/>
      <c r="B8" s="108" t="s">
        <v>25</v>
      </c>
      <c r="G8" s="255"/>
    </row>
    <row r="9" spans="1:23" ht="12.75" customHeight="1" x14ac:dyDescent="0.25">
      <c r="A9" s="139"/>
      <c r="B9" s="108" t="s">
        <v>191</v>
      </c>
      <c r="G9" s="255"/>
    </row>
    <row r="10" spans="1:23" ht="12.75" customHeight="1" x14ac:dyDescent="0.25">
      <c r="A10" s="139"/>
      <c r="B10" s="108" t="s">
        <v>15</v>
      </c>
      <c r="E10" s="114">
        <f>E63+E170</f>
        <v>703061.90729999985</v>
      </c>
      <c r="F10" s="114">
        <f t="shared" ref="F10:I10" si="0">F63+F170</f>
        <v>703061.90729999985</v>
      </c>
      <c r="G10" s="257">
        <f t="shared" si="0"/>
        <v>1231706.3955659997</v>
      </c>
      <c r="H10" s="114">
        <f t="shared" si="0"/>
        <v>1354068.2004479999</v>
      </c>
      <c r="I10" s="114">
        <f t="shared" si="0"/>
        <v>1395579.9646035</v>
      </c>
      <c r="J10" s="114">
        <f t="shared" ref="J10:P10" si="1">J63+J170</f>
        <v>1437609.1304765251</v>
      </c>
      <c r="K10" s="114">
        <f t="shared" si="1"/>
        <v>1480171.2201186006</v>
      </c>
      <c r="L10" s="114">
        <f t="shared" si="1"/>
        <v>1523282.2212427987</v>
      </c>
      <c r="M10" s="114">
        <f t="shared" si="1"/>
        <v>1569654.7167755826</v>
      </c>
      <c r="N10" s="114">
        <f t="shared" si="1"/>
        <v>1616609.5524997504</v>
      </c>
      <c r="O10" s="114">
        <f t="shared" si="1"/>
        <v>1664164.1986210425</v>
      </c>
      <c r="P10" s="114">
        <f t="shared" si="1"/>
        <v>1715032.7650333741</v>
      </c>
      <c r="S10" s="525"/>
      <c r="T10" s="525"/>
      <c r="U10" s="525"/>
      <c r="V10" s="525"/>
      <c r="W10" s="525"/>
    </row>
    <row r="11" spans="1:23" ht="12.75" customHeight="1" x14ac:dyDescent="0.25">
      <c r="A11" s="139"/>
      <c r="B11" s="432" t="s">
        <v>342</v>
      </c>
      <c r="E11" s="114">
        <f>E74+E179</f>
        <v>556887.79125000001</v>
      </c>
      <c r="F11" s="114">
        <f t="shared" ref="F11:I11" si="2">F74+F179</f>
        <v>556887.79125000001</v>
      </c>
      <c r="G11" s="257">
        <f t="shared" si="2"/>
        <v>976167.05872500001</v>
      </c>
      <c r="H11" s="114">
        <f t="shared" si="2"/>
        <v>1072815.7101750001</v>
      </c>
      <c r="I11" s="114">
        <f t="shared" si="2"/>
        <v>1106065.041345</v>
      </c>
      <c r="J11" s="114">
        <f t="shared" ref="J11:P11" si="3">J74+J179</f>
        <v>1139440.60346985</v>
      </c>
      <c r="K11" s="114">
        <f t="shared" si="3"/>
        <v>1172946.1834781957</v>
      </c>
      <c r="L11" s="114">
        <f t="shared" si="3"/>
        <v>1206585.6819065413</v>
      </c>
      <c r="M11" s="114">
        <f t="shared" si="3"/>
        <v>1243589.9643824876</v>
      </c>
      <c r="N11" s="114">
        <f t="shared" si="3"/>
        <v>1280736.3209102121</v>
      </c>
      <c r="O11" s="114">
        <f t="shared" si="3"/>
        <v>1318029.0137112685</v>
      </c>
      <c r="P11" s="114">
        <f t="shared" si="3"/>
        <v>1358699.2809488566</v>
      </c>
      <c r="S11" s="525"/>
      <c r="T11" s="525"/>
      <c r="U11" s="525"/>
      <c r="V11" s="525"/>
      <c r="W11" s="525"/>
    </row>
    <row r="12" spans="1:23" ht="12.75" customHeight="1" x14ac:dyDescent="0.25">
      <c r="A12" s="139"/>
      <c r="B12" s="432" t="s">
        <v>296</v>
      </c>
      <c r="E12" s="324">
        <f>E75+E180</f>
        <v>0</v>
      </c>
      <c r="F12" s="324">
        <f t="shared" ref="F12:P12" si="4">F75+F180</f>
        <v>0</v>
      </c>
      <c r="G12" s="386">
        <f t="shared" si="4"/>
        <v>0</v>
      </c>
      <c r="H12" s="324">
        <f t="shared" si="4"/>
        <v>0</v>
      </c>
      <c r="I12" s="324">
        <f t="shared" si="4"/>
        <v>0</v>
      </c>
      <c r="J12" s="324">
        <f t="shared" si="4"/>
        <v>0</v>
      </c>
      <c r="K12" s="324">
        <f t="shared" si="4"/>
        <v>0</v>
      </c>
      <c r="L12" s="324">
        <f t="shared" si="4"/>
        <v>0</v>
      </c>
      <c r="M12" s="324">
        <f t="shared" si="4"/>
        <v>0</v>
      </c>
      <c r="N12" s="324">
        <f t="shared" si="4"/>
        <v>0</v>
      </c>
      <c r="O12" s="324">
        <f t="shared" si="4"/>
        <v>0</v>
      </c>
      <c r="P12" s="324">
        <f t="shared" si="4"/>
        <v>0</v>
      </c>
      <c r="S12" s="525"/>
      <c r="T12" s="525"/>
      <c r="U12" s="525"/>
      <c r="V12" s="525"/>
      <c r="W12" s="525"/>
    </row>
    <row r="13" spans="1:23" ht="12.75" customHeight="1" x14ac:dyDescent="0.25">
      <c r="A13" s="139"/>
      <c r="B13" s="560" t="s">
        <v>296</v>
      </c>
      <c r="C13" s="136"/>
      <c r="D13" s="136"/>
      <c r="E13" s="112">
        <f t="shared" ref="E13" si="5">E96+E197</f>
        <v>0</v>
      </c>
      <c r="F13" s="112">
        <f t="shared" ref="F13:I13" si="6">F96+F197</f>
        <v>0</v>
      </c>
      <c r="G13" s="259">
        <f t="shared" si="6"/>
        <v>0</v>
      </c>
      <c r="H13" s="112">
        <f t="shared" si="6"/>
        <v>0</v>
      </c>
      <c r="I13" s="112">
        <f t="shared" si="6"/>
        <v>0</v>
      </c>
      <c r="J13" s="112">
        <f t="shared" ref="J13:P13" si="7">J96+J197</f>
        <v>0</v>
      </c>
      <c r="K13" s="112">
        <f t="shared" si="7"/>
        <v>0</v>
      </c>
      <c r="L13" s="112">
        <f t="shared" si="7"/>
        <v>0</v>
      </c>
      <c r="M13" s="112">
        <f t="shared" si="7"/>
        <v>0</v>
      </c>
      <c r="N13" s="112">
        <f t="shared" si="7"/>
        <v>0</v>
      </c>
      <c r="O13" s="112">
        <f t="shared" si="7"/>
        <v>0</v>
      </c>
      <c r="P13" s="112">
        <f t="shared" si="7"/>
        <v>0</v>
      </c>
      <c r="S13" s="525"/>
      <c r="T13" s="525"/>
      <c r="U13" s="525"/>
      <c r="V13" s="525"/>
      <c r="W13" s="525"/>
    </row>
    <row r="14" spans="1:23" ht="12.75" customHeight="1" x14ac:dyDescent="0.25">
      <c r="A14" s="139"/>
      <c r="B14" s="108" t="s">
        <v>84</v>
      </c>
      <c r="E14" s="114">
        <f>SUM(E10:E13)</f>
        <v>1259949.6985499999</v>
      </c>
      <c r="F14" s="114">
        <f>SUM(F10:F13)</f>
        <v>1259949.6985499999</v>
      </c>
      <c r="G14" s="257">
        <f>SUM(G10:G13)</f>
        <v>2207873.4542909996</v>
      </c>
      <c r="H14" s="114">
        <f t="shared" ref="H14:I14" si="8">SUM(H10:H13)</f>
        <v>2426883.910623</v>
      </c>
      <c r="I14" s="114">
        <f t="shared" si="8"/>
        <v>2501645.0059484998</v>
      </c>
      <c r="J14" s="114">
        <f t="shared" ref="J14:P14" si="9">SUM(J10:J13)</f>
        <v>2577049.7339463751</v>
      </c>
      <c r="K14" s="114">
        <f t="shared" si="9"/>
        <v>2653117.4035967961</v>
      </c>
      <c r="L14" s="114">
        <f t="shared" si="9"/>
        <v>2729867.9031493403</v>
      </c>
      <c r="M14" s="114">
        <f t="shared" si="9"/>
        <v>2813244.6811580705</v>
      </c>
      <c r="N14" s="114">
        <f t="shared" si="9"/>
        <v>2897345.8734099623</v>
      </c>
      <c r="O14" s="114">
        <f t="shared" si="9"/>
        <v>2982193.2123323111</v>
      </c>
      <c r="P14" s="114">
        <f t="shared" si="9"/>
        <v>3073732.0459822305</v>
      </c>
    </row>
    <row r="15" spans="1:23" ht="12.75" customHeight="1" x14ac:dyDescent="0.25">
      <c r="A15" s="139"/>
      <c r="E15" s="114"/>
      <c r="F15" s="114"/>
      <c r="G15" s="257"/>
      <c r="H15" s="114"/>
      <c r="I15" s="114"/>
      <c r="J15" s="114"/>
      <c r="K15" s="114"/>
      <c r="L15" s="114"/>
      <c r="M15" s="114"/>
      <c r="N15" s="114"/>
      <c r="O15" s="114"/>
      <c r="P15" s="114"/>
    </row>
    <row r="16" spans="1:23" ht="12.75" customHeight="1" x14ac:dyDescent="0.25">
      <c r="A16" s="139"/>
      <c r="B16" s="108" t="s">
        <v>0</v>
      </c>
      <c r="E16" s="114"/>
      <c r="F16" s="114"/>
      <c r="G16" s="257"/>
      <c r="H16" s="114"/>
      <c r="I16" s="114"/>
      <c r="J16" s="114"/>
      <c r="K16" s="114"/>
      <c r="L16" s="114"/>
      <c r="M16" s="114"/>
      <c r="N16" s="114"/>
      <c r="O16" s="114"/>
      <c r="P16" s="114"/>
    </row>
    <row r="17" spans="1:20" ht="12.75" customHeight="1" x14ac:dyDescent="0.25">
      <c r="A17" s="139"/>
      <c r="B17" s="108" t="s">
        <v>15</v>
      </c>
      <c r="E17" s="114">
        <f t="shared" ref="E17:I17" si="10">E110+E210</f>
        <v>56811.347999999991</v>
      </c>
      <c r="F17" s="114">
        <f t="shared" si="10"/>
        <v>62688.383999999998</v>
      </c>
      <c r="G17" s="257">
        <f t="shared" si="10"/>
        <v>109704.67199999999</v>
      </c>
      <c r="H17" s="114">
        <f t="shared" si="10"/>
        <v>120675.13920000001</v>
      </c>
      <c r="I17" s="114">
        <f t="shared" si="10"/>
        <v>124295.39337600001</v>
      </c>
      <c r="J17" s="114">
        <f t="shared" ref="J17:P17" si="11">J110+J210</f>
        <v>128024.25517728002</v>
      </c>
      <c r="K17" s="114">
        <f t="shared" si="11"/>
        <v>131864.98283259844</v>
      </c>
      <c r="L17" s="114">
        <f t="shared" si="11"/>
        <v>135820.93231757637</v>
      </c>
      <c r="M17" s="114">
        <f t="shared" si="11"/>
        <v>139895.56028710367</v>
      </c>
      <c r="N17" s="114">
        <f t="shared" si="11"/>
        <v>144092.42709571676</v>
      </c>
      <c r="O17" s="114">
        <f t="shared" si="11"/>
        <v>148415.19990858826</v>
      </c>
      <c r="P17" s="114">
        <f t="shared" si="11"/>
        <v>152867.65590584592</v>
      </c>
    </row>
    <row r="18" spans="1:20" ht="12.75" customHeight="1" x14ac:dyDescent="0.25">
      <c r="A18" s="139"/>
      <c r="B18" s="432" t="s">
        <v>342</v>
      </c>
      <c r="E18" s="114">
        <f>E121+E219</f>
        <v>3104.4971249999999</v>
      </c>
      <c r="F18" s="114">
        <f t="shared" ref="F18:I18" si="12">F121+F219</f>
        <v>3425.652</v>
      </c>
      <c r="G18" s="257">
        <f t="shared" si="12"/>
        <v>5994.8909999999996</v>
      </c>
      <c r="H18" s="114">
        <f t="shared" si="12"/>
        <v>6594.3801000000003</v>
      </c>
      <c r="I18" s="114">
        <f t="shared" si="12"/>
        <v>6792.2115030000004</v>
      </c>
      <c r="J18" s="114">
        <f t="shared" ref="J18:P18" si="13">J121+J219</f>
        <v>6995.9778480900013</v>
      </c>
      <c r="K18" s="114">
        <f t="shared" si="13"/>
        <v>7205.8571835327011</v>
      </c>
      <c r="L18" s="114">
        <f t="shared" si="13"/>
        <v>7422.0328990386834</v>
      </c>
      <c r="M18" s="114">
        <f t="shared" si="13"/>
        <v>7644.6938860098435</v>
      </c>
      <c r="N18" s="114">
        <f t="shared" si="13"/>
        <v>7874.0347025901374</v>
      </c>
      <c r="O18" s="114">
        <f t="shared" si="13"/>
        <v>8110.2557436678417</v>
      </c>
      <c r="P18" s="114">
        <f t="shared" si="13"/>
        <v>8353.5634159778765</v>
      </c>
    </row>
    <row r="19" spans="1:20" ht="12.75" customHeight="1" x14ac:dyDescent="0.25">
      <c r="A19" s="139"/>
      <c r="B19" s="432" t="s">
        <v>296</v>
      </c>
      <c r="E19" s="114">
        <f t="shared" ref="E19:I19" si="14">E132+E228</f>
        <v>0</v>
      </c>
      <c r="F19" s="114">
        <f t="shared" si="14"/>
        <v>0</v>
      </c>
      <c r="G19" s="257">
        <f t="shared" si="14"/>
        <v>0</v>
      </c>
      <c r="H19" s="114">
        <f t="shared" si="14"/>
        <v>0</v>
      </c>
      <c r="I19" s="114">
        <f t="shared" si="14"/>
        <v>0</v>
      </c>
      <c r="J19" s="114">
        <f t="shared" ref="J19:P19" si="15">J132+J228</f>
        <v>0</v>
      </c>
      <c r="K19" s="114">
        <f t="shared" si="15"/>
        <v>0</v>
      </c>
      <c r="L19" s="114">
        <f t="shared" si="15"/>
        <v>0</v>
      </c>
      <c r="M19" s="114">
        <f t="shared" si="15"/>
        <v>0</v>
      </c>
      <c r="N19" s="114">
        <f t="shared" si="15"/>
        <v>0</v>
      </c>
      <c r="O19" s="114">
        <f t="shared" si="15"/>
        <v>0</v>
      </c>
      <c r="P19" s="114">
        <f t="shared" si="15"/>
        <v>0</v>
      </c>
      <c r="T19" s="599"/>
    </row>
    <row r="20" spans="1:20" ht="12.75" customHeight="1" x14ac:dyDescent="0.25">
      <c r="A20" s="139"/>
      <c r="B20" s="560" t="s">
        <v>296</v>
      </c>
      <c r="C20" s="136"/>
      <c r="D20" s="136"/>
      <c r="E20" s="112">
        <f t="shared" ref="E20:I20" si="16">E143+E237</f>
        <v>0</v>
      </c>
      <c r="F20" s="112">
        <f t="shared" si="16"/>
        <v>0</v>
      </c>
      <c r="G20" s="259">
        <f t="shared" si="16"/>
        <v>0</v>
      </c>
      <c r="H20" s="112">
        <f t="shared" si="16"/>
        <v>0</v>
      </c>
      <c r="I20" s="112">
        <f t="shared" si="16"/>
        <v>0</v>
      </c>
      <c r="J20" s="112">
        <f t="shared" ref="J20:P20" si="17">J143+J237</f>
        <v>0</v>
      </c>
      <c r="K20" s="112">
        <f t="shared" si="17"/>
        <v>0</v>
      </c>
      <c r="L20" s="112">
        <f t="shared" si="17"/>
        <v>0</v>
      </c>
      <c r="M20" s="112">
        <f t="shared" si="17"/>
        <v>0</v>
      </c>
      <c r="N20" s="112">
        <f t="shared" si="17"/>
        <v>0</v>
      </c>
      <c r="O20" s="112">
        <f t="shared" si="17"/>
        <v>0</v>
      </c>
      <c r="P20" s="112">
        <f t="shared" si="17"/>
        <v>0</v>
      </c>
    </row>
    <row r="21" spans="1:20" ht="12.75" customHeight="1" x14ac:dyDescent="0.25">
      <c r="A21" s="139"/>
      <c r="B21" s="108" t="s">
        <v>84</v>
      </c>
      <c r="E21" s="114">
        <f t="shared" ref="E21:F21" si="18">SUM(E17:E20)</f>
        <v>59915.845124999993</v>
      </c>
      <c r="F21" s="114">
        <f t="shared" si="18"/>
        <v>66114.035999999993</v>
      </c>
      <c r="G21" s="257">
        <f t="shared" ref="G21:I21" si="19">SUM(G17:G20)</f>
        <v>115699.56299999999</v>
      </c>
      <c r="H21" s="114">
        <f t="shared" si="19"/>
        <v>127269.5193</v>
      </c>
      <c r="I21" s="114">
        <f t="shared" si="19"/>
        <v>131087.60487900002</v>
      </c>
      <c r="J21" s="114">
        <f t="shared" ref="J21:P21" si="20">SUM(J17:J20)</f>
        <v>135020.23302537002</v>
      </c>
      <c r="K21" s="114">
        <f t="shared" si="20"/>
        <v>139070.84001613114</v>
      </c>
      <c r="L21" s="114">
        <f t="shared" si="20"/>
        <v>143242.96521661506</v>
      </c>
      <c r="M21" s="114">
        <f t="shared" si="20"/>
        <v>147540.2541731135</v>
      </c>
      <c r="N21" s="114">
        <f t="shared" si="20"/>
        <v>151966.4617983069</v>
      </c>
      <c r="O21" s="114">
        <f t="shared" si="20"/>
        <v>156525.45565225609</v>
      </c>
      <c r="P21" s="114">
        <f t="shared" si="20"/>
        <v>161221.2193218238</v>
      </c>
    </row>
    <row r="22" spans="1:20" ht="12.75" customHeight="1" thickBot="1" x14ac:dyDescent="0.3">
      <c r="A22" s="139"/>
      <c r="B22" s="226"/>
      <c r="C22" s="226"/>
      <c r="D22" s="226"/>
      <c r="E22" s="535"/>
      <c r="F22" s="535">
        <v>1300000</v>
      </c>
      <c r="G22" s="375"/>
      <c r="H22" s="226"/>
      <c r="I22" s="226"/>
      <c r="J22" s="226"/>
      <c r="K22" s="226"/>
      <c r="L22" s="226"/>
      <c r="M22" s="226"/>
      <c r="N22" s="226"/>
      <c r="O22" s="226"/>
      <c r="P22" s="226"/>
    </row>
    <row r="23" spans="1:20" ht="12.75" customHeight="1" thickTop="1" x14ac:dyDescent="0.25">
      <c r="A23" s="134"/>
      <c r="B23" s="108" t="s">
        <v>262</v>
      </c>
      <c r="E23" s="324">
        <f t="shared" ref="E23:F23" si="21">E14+E21</f>
        <v>1319865.5436749998</v>
      </c>
      <c r="F23" s="324">
        <f t="shared" si="21"/>
        <v>1326063.7345499999</v>
      </c>
      <c r="G23" s="386">
        <f>G14+G21</f>
        <v>2323573.0172909996</v>
      </c>
      <c r="H23" s="114">
        <f>H14+H21</f>
        <v>2554153.4299229998</v>
      </c>
      <c r="I23" s="114">
        <f>I14+I21</f>
        <v>2632732.6108275</v>
      </c>
      <c r="J23" s="114">
        <f t="shared" ref="J23:P23" si="22">J14+J21</f>
        <v>2712069.9669717452</v>
      </c>
      <c r="K23" s="114">
        <f t="shared" si="22"/>
        <v>2792188.2436129274</v>
      </c>
      <c r="L23" s="114">
        <f t="shared" si="22"/>
        <v>2873110.8683659555</v>
      </c>
      <c r="M23" s="114">
        <f t="shared" si="22"/>
        <v>2960784.935331184</v>
      </c>
      <c r="N23" s="114">
        <f t="shared" si="22"/>
        <v>3049312.3352082693</v>
      </c>
      <c r="O23" s="114">
        <f t="shared" si="22"/>
        <v>3138718.6679845671</v>
      </c>
      <c r="P23" s="114">
        <f t="shared" si="22"/>
        <v>3234953.2653040541</v>
      </c>
    </row>
    <row r="24" spans="1:20" ht="12.75" customHeight="1" x14ac:dyDescent="0.25">
      <c r="A24" s="134"/>
      <c r="E24" s="324"/>
      <c r="F24" s="324"/>
      <c r="G24" s="386"/>
      <c r="H24" s="114"/>
      <c r="I24" s="114"/>
      <c r="J24" s="114"/>
      <c r="K24" s="114"/>
      <c r="L24" s="114"/>
      <c r="M24" s="114"/>
      <c r="N24" s="114"/>
      <c r="O24" s="114"/>
      <c r="P24" s="114"/>
    </row>
    <row r="25" spans="1:20" ht="12.75" customHeight="1" x14ac:dyDescent="0.25">
      <c r="A25" s="139" t="s">
        <v>20</v>
      </c>
      <c r="E25" s="324"/>
      <c r="F25" s="324"/>
      <c r="G25" s="386"/>
      <c r="H25" s="114"/>
      <c r="I25" s="114"/>
      <c r="J25" s="114"/>
      <c r="K25" s="114"/>
      <c r="L25" s="114"/>
      <c r="M25" s="114"/>
      <c r="N25" s="114"/>
      <c r="O25" s="114"/>
      <c r="P25" s="114"/>
    </row>
    <row r="26" spans="1:20" ht="12.75" customHeight="1" x14ac:dyDescent="0.25">
      <c r="A26" s="432"/>
      <c r="B26" s="432" t="s">
        <v>374</v>
      </c>
      <c r="E26" s="579">
        <f>'T-Rev'!E33*'T-Rev'!$R33</f>
        <v>22407</v>
      </c>
      <c r="F26" s="579">
        <f>'T-Rev'!F33*'T-Rev'!$R33</f>
        <v>22530</v>
      </c>
      <c r="G26" s="629">
        <f>'T-Rev'!G33*'T-Rev'!$R33</f>
        <v>15000</v>
      </c>
      <c r="H26" s="579">
        <f>'T-Rev'!H33*'T-Rev'!$R33</f>
        <v>19979</v>
      </c>
      <c r="I26" s="579">
        <f>'T-Rev'!I33*'T-Rev'!$R33</f>
        <v>19979</v>
      </c>
      <c r="J26" s="579">
        <f>'T-Rev'!J33*'T-Rev'!$R33</f>
        <v>19979</v>
      </c>
      <c r="K26" s="579">
        <f>'T-Rev'!K33*'T-Rev'!$R33</f>
        <v>19979</v>
      </c>
      <c r="L26" s="579">
        <f>'T-Rev'!L33*'T-Rev'!$R33</f>
        <v>19979</v>
      </c>
      <c r="M26" s="579">
        <f>'T-Rev'!M33*'T-Rev'!$R33</f>
        <v>19979</v>
      </c>
      <c r="N26" s="579">
        <f>'T-Rev'!N33*'T-Rev'!$R33</f>
        <v>19979</v>
      </c>
      <c r="O26" s="579">
        <f>'T-Rev'!O33*'T-Rev'!$R33</f>
        <v>19979</v>
      </c>
      <c r="P26" s="579">
        <f>'T-Rev'!P33*'T-Rev'!$R33</f>
        <v>19979</v>
      </c>
    </row>
    <row r="27" spans="1:20" ht="12.75" customHeight="1" x14ac:dyDescent="0.25">
      <c r="A27" s="139"/>
      <c r="B27" s="432" t="s">
        <v>375</v>
      </c>
      <c r="D27" s="260"/>
      <c r="E27" s="579">
        <f>'T-Rev'!E34*'T-Rev'!$R34</f>
        <v>283526</v>
      </c>
      <c r="F27" s="579">
        <f>'T-Rev'!F34*'T-Rev'!$R34</f>
        <v>285920.5</v>
      </c>
      <c r="G27" s="629">
        <f>'T-Rev'!G34*'T-Rev'!$R34</f>
        <v>275000</v>
      </c>
      <c r="H27" s="579">
        <f>'T-Rev'!H34*'T-Rev'!$R34</f>
        <v>281482.16666666669</v>
      </c>
      <c r="I27" s="579">
        <f>'T-Rev'!I34*'T-Rev'!$R34</f>
        <v>281482.16666666669</v>
      </c>
      <c r="J27" s="579">
        <f>'T-Rev'!J34*'T-Rev'!$R34</f>
        <v>281482.16666666669</v>
      </c>
      <c r="K27" s="579">
        <f>'T-Rev'!K34*'T-Rev'!$R34</f>
        <v>281482.16666666669</v>
      </c>
      <c r="L27" s="579">
        <f>'T-Rev'!L34*'T-Rev'!$R34</f>
        <v>281482.16666666669</v>
      </c>
      <c r="M27" s="579">
        <f>'T-Rev'!M34*'T-Rev'!$R34</f>
        <v>281482.16666666669</v>
      </c>
      <c r="N27" s="579">
        <f>'T-Rev'!N34*'T-Rev'!$R34</f>
        <v>281482.16666666669</v>
      </c>
      <c r="O27" s="579">
        <f>'T-Rev'!O34*'T-Rev'!$R34</f>
        <v>281482.16666666669</v>
      </c>
      <c r="P27" s="579">
        <f>'T-Rev'!P34*'T-Rev'!$R34</f>
        <v>281482.16666666669</v>
      </c>
    </row>
    <row r="28" spans="1:20" ht="12.75" customHeight="1" x14ac:dyDescent="0.25">
      <c r="A28" s="432"/>
      <c r="B28" s="432" t="s">
        <v>376</v>
      </c>
      <c r="D28" s="260"/>
      <c r="E28" s="579">
        <f>'T-Rev'!E35*'T-Rev'!$R35</f>
        <v>1880</v>
      </c>
      <c r="F28" s="579">
        <f>'T-Rev'!F35*'T-Rev'!$R35</f>
        <v>2880</v>
      </c>
      <c r="G28" s="629">
        <f>'T-Rev'!G35*'T-Rev'!$R35</f>
        <v>2000</v>
      </c>
      <c r="H28" s="579">
        <f>'T-Rev'!H35*'T-Rev'!$R35</f>
        <v>2253.3333333333335</v>
      </c>
      <c r="I28" s="579">
        <f>'T-Rev'!I35*'T-Rev'!$R35</f>
        <v>2253.3333333333335</v>
      </c>
      <c r="J28" s="579">
        <f>'T-Rev'!J35*'T-Rev'!$R35</f>
        <v>2253.3333333333335</v>
      </c>
      <c r="K28" s="579">
        <f>'T-Rev'!K35*'T-Rev'!$R35</f>
        <v>2253.3333333333335</v>
      </c>
      <c r="L28" s="579">
        <f>'T-Rev'!L35*'T-Rev'!$R35</f>
        <v>2253.3333333333335</v>
      </c>
      <c r="M28" s="579">
        <f>'T-Rev'!M35*'T-Rev'!$R35</f>
        <v>2253.3333333333335</v>
      </c>
      <c r="N28" s="579">
        <f>'T-Rev'!N35*'T-Rev'!$R35</f>
        <v>2253.3333333333335</v>
      </c>
      <c r="O28" s="579">
        <f>'T-Rev'!O35*'T-Rev'!$R35</f>
        <v>2253.3333333333335</v>
      </c>
      <c r="P28" s="579">
        <f>'T-Rev'!P35*'T-Rev'!$R35</f>
        <v>2253.3333333333335</v>
      </c>
    </row>
    <row r="29" spans="1:20" ht="12.75" customHeight="1" x14ac:dyDescent="0.25">
      <c r="A29" s="432"/>
      <c r="B29" s="432" t="s">
        <v>377</v>
      </c>
      <c r="D29" s="260"/>
      <c r="E29" s="579">
        <f>'T-Rev'!E36*'T-Rev'!$R36</f>
        <v>3762.5</v>
      </c>
      <c r="F29" s="579">
        <f>'T-Rev'!F36*'T-Rev'!$R36</f>
        <v>2350</v>
      </c>
      <c r="G29" s="629">
        <f>'T-Rev'!G36*'T-Rev'!$R36</f>
        <v>6000</v>
      </c>
      <c r="H29" s="579">
        <f>'T-Rev'!H36*'T-Rev'!$R36</f>
        <v>4037.5</v>
      </c>
      <c r="I29" s="579">
        <f>'T-Rev'!I36*'T-Rev'!$R36</f>
        <v>4037.5</v>
      </c>
      <c r="J29" s="579">
        <f>'T-Rev'!J36*'T-Rev'!$R36</f>
        <v>4037.5</v>
      </c>
      <c r="K29" s="579">
        <f>'T-Rev'!K36*'T-Rev'!$R36</f>
        <v>4037.5</v>
      </c>
      <c r="L29" s="579">
        <f>'T-Rev'!L36*'T-Rev'!$R36</f>
        <v>4037.5</v>
      </c>
      <c r="M29" s="579">
        <f>'T-Rev'!M36*'T-Rev'!$R36</f>
        <v>4037.5</v>
      </c>
      <c r="N29" s="579">
        <f>'T-Rev'!N36*'T-Rev'!$R36</f>
        <v>4037.5</v>
      </c>
      <c r="O29" s="579">
        <f>'T-Rev'!O36*'T-Rev'!$R36</f>
        <v>4037.5</v>
      </c>
      <c r="P29" s="579">
        <f>'T-Rev'!P36*'T-Rev'!$R36</f>
        <v>4037.5</v>
      </c>
    </row>
    <row r="30" spans="1:20" ht="12.75" customHeight="1" x14ac:dyDescent="0.25">
      <c r="A30" s="432"/>
      <c r="B30" s="432" t="s">
        <v>378</v>
      </c>
      <c r="D30" s="260"/>
      <c r="E30" s="579">
        <f>'T-Rev'!E37*'T-Rev'!$R37</f>
        <v>5950</v>
      </c>
      <c r="F30" s="579">
        <f>'T-Rev'!F37*'T-Rev'!$R37</f>
        <v>3275</v>
      </c>
      <c r="G30" s="629">
        <f>'T-Rev'!G37*'T-Rev'!$R37</f>
        <v>3275</v>
      </c>
      <c r="H30" s="579">
        <f>'T-Rev'!H37*'T-Rev'!$R37</f>
        <v>4166.666666666667</v>
      </c>
      <c r="I30" s="579">
        <f>'T-Rev'!I37*'T-Rev'!$R37</f>
        <v>4166.666666666667</v>
      </c>
      <c r="J30" s="579">
        <f>'T-Rev'!J37*'T-Rev'!$R37</f>
        <v>4166.666666666667</v>
      </c>
      <c r="K30" s="579">
        <f>'T-Rev'!K37*'T-Rev'!$R37</f>
        <v>4166.666666666667</v>
      </c>
      <c r="L30" s="579">
        <f>'T-Rev'!L37*'T-Rev'!$R37</f>
        <v>4166.666666666667</v>
      </c>
      <c r="M30" s="579">
        <f>'T-Rev'!M37*'T-Rev'!$R37</f>
        <v>4166.666666666667</v>
      </c>
      <c r="N30" s="579">
        <f>'T-Rev'!N37*'T-Rev'!$R37</f>
        <v>4166.666666666667</v>
      </c>
      <c r="O30" s="579">
        <f>'T-Rev'!O37*'T-Rev'!$R37</f>
        <v>4166.666666666667</v>
      </c>
      <c r="P30" s="579">
        <f>'T-Rev'!P37*'T-Rev'!$R37</f>
        <v>4166.666666666667</v>
      </c>
    </row>
    <row r="31" spans="1:20" ht="12.75" customHeight="1" x14ac:dyDescent="0.25">
      <c r="A31" s="432"/>
      <c r="B31" s="432" t="s">
        <v>264</v>
      </c>
      <c r="D31" s="260"/>
      <c r="E31" s="579">
        <f>'T-Rev'!E38*'T-Rev'!$R38</f>
        <v>10</v>
      </c>
      <c r="F31" s="579">
        <f>'T-Rev'!F38*'T-Rev'!$R38</f>
        <v>71.5</v>
      </c>
      <c r="G31" s="629">
        <f>'T-Rev'!G38*'T-Rev'!$R38</f>
        <v>50</v>
      </c>
      <c r="H31" s="579">
        <f>'T-Rev'!H38*'T-Rev'!$R38</f>
        <v>43.833333333333336</v>
      </c>
      <c r="I31" s="579">
        <f>'T-Rev'!I38*'T-Rev'!$R38</f>
        <v>43.833333333333336</v>
      </c>
      <c r="J31" s="579">
        <f>'T-Rev'!J38*'T-Rev'!$R38</f>
        <v>43.833333333333336</v>
      </c>
      <c r="K31" s="579">
        <f>'T-Rev'!K38*'T-Rev'!$R38</f>
        <v>43.833333333333336</v>
      </c>
      <c r="L31" s="579">
        <f>'T-Rev'!L38*'T-Rev'!$R38</f>
        <v>43.833333333333336</v>
      </c>
      <c r="M31" s="579">
        <f>'T-Rev'!M38*'T-Rev'!$R38</f>
        <v>43.833333333333336</v>
      </c>
      <c r="N31" s="579">
        <f>'T-Rev'!N38*'T-Rev'!$R38</f>
        <v>43.833333333333336</v>
      </c>
      <c r="O31" s="579">
        <f>'T-Rev'!O38*'T-Rev'!$R38</f>
        <v>43.833333333333336</v>
      </c>
      <c r="P31" s="579">
        <f>'T-Rev'!P38*'T-Rev'!$R38</f>
        <v>43.833333333333336</v>
      </c>
    </row>
    <row r="32" spans="1:20" ht="12.75" customHeight="1" x14ac:dyDescent="0.25">
      <c r="A32" s="432"/>
      <c r="B32" s="432" t="s">
        <v>379</v>
      </c>
      <c r="D32" s="260"/>
      <c r="E32" s="579">
        <f>'T-Rev'!E39*'T-Rev'!$R39</f>
        <v>79594</v>
      </c>
      <c r="F32" s="579">
        <f>'T-Rev'!F39*'T-Rev'!$R39</f>
        <v>100175</v>
      </c>
      <c r="G32" s="629">
        <f>'T-Rev'!G39*'T-Rev'!$R39</f>
        <v>100175</v>
      </c>
      <c r="H32" s="579">
        <f>'T-Rev'!H39*'T-Rev'!$R39</f>
        <v>93314.666666666672</v>
      </c>
      <c r="I32" s="579">
        <f>'T-Rev'!I39*'T-Rev'!$R39</f>
        <v>93314.666666666672</v>
      </c>
      <c r="J32" s="579">
        <f>'T-Rev'!J39*'T-Rev'!$R39</f>
        <v>93314.666666666672</v>
      </c>
      <c r="K32" s="579">
        <f>'T-Rev'!K39*'T-Rev'!$R39</f>
        <v>93314.666666666672</v>
      </c>
      <c r="L32" s="579">
        <f>'T-Rev'!L39*'T-Rev'!$R39</f>
        <v>93314.666666666672</v>
      </c>
      <c r="M32" s="579">
        <f>'T-Rev'!M39*'T-Rev'!$R39</f>
        <v>93314.666666666672</v>
      </c>
      <c r="N32" s="579">
        <f>'T-Rev'!N39*'T-Rev'!$R39</f>
        <v>93314.666666666672</v>
      </c>
      <c r="O32" s="579">
        <f>'T-Rev'!O39*'T-Rev'!$R39</f>
        <v>93314.666666666672</v>
      </c>
      <c r="P32" s="579">
        <f>'T-Rev'!P39*'T-Rev'!$R39</f>
        <v>93314.666666666672</v>
      </c>
    </row>
    <row r="33" spans="1:16" ht="12.75" customHeight="1" x14ac:dyDescent="0.25">
      <c r="A33" s="139"/>
      <c r="B33" s="432" t="s">
        <v>380</v>
      </c>
      <c r="D33" s="260"/>
      <c r="E33" s="579">
        <f>'T-Rev'!E40*'T-Rev'!$R40</f>
        <v>66131</v>
      </c>
      <c r="F33" s="579">
        <f>'T-Rev'!F40*'T-Rev'!$R40</f>
        <v>46353</v>
      </c>
      <c r="G33" s="629">
        <f>'T-Rev'!G40*'T-Rev'!$R40</f>
        <v>46353</v>
      </c>
      <c r="H33" s="579">
        <f>'T-Rev'!H40*'T-Rev'!$R40</f>
        <v>52945.666666666664</v>
      </c>
      <c r="I33" s="579">
        <f>'T-Rev'!I40*'T-Rev'!$R40</f>
        <v>52945.666666666664</v>
      </c>
      <c r="J33" s="579">
        <f>'T-Rev'!J40*'T-Rev'!$R40</f>
        <v>52945.666666666664</v>
      </c>
      <c r="K33" s="579">
        <f>'T-Rev'!K40*'T-Rev'!$R40</f>
        <v>52945.666666666664</v>
      </c>
      <c r="L33" s="579">
        <f>'T-Rev'!L40*'T-Rev'!$R40</f>
        <v>52945.666666666664</v>
      </c>
      <c r="M33" s="579">
        <f>'T-Rev'!M40*'T-Rev'!$R40</f>
        <v>52945.666666666664</v>
      </c>
      <c r="N33" s="579">
        <f>'T-Rev'!N40*'T-Rev'!$R40</f>
        <v>52945.666666666664</v>
      </c>
      <c r="O33" s="579">
        <f>'T-Rev'!O40*'T-Rev'!$R40</f>
        <v>52945.666666666664</v>
      </c>
      <c r="P33" s="579">
        <f>'T-Rev'!P40*'T-Rev'!$R40</f>
        <v>52945.666666666664</v>
      </c>
    </row>
    <row r="34" spans="1:16" ht="12.75" customHeight="1" x14ac:dyDescent="0.25">
      <c r="A34" s="432"/>
      <c r="B34" s="432" t="s">
        <v>381</v>
      </c>
      <c r="D34" s="260"/>
      <c r="E34" s="579">
        <f>'T-Rev'!E41*'T-Rev'!$R41</f>
        <v>400</v>
      </c>
      <c r="F34" s="579">
        <f>'T-Rev'!F41*'T-Rev'!$R41</f>
        <v>0</v>
      </c>
      <c r="G34" s="629">
        <f>'T-Rev'!G41*'T-Rev'!$R41</f>
        <v>400</v>
      </c>
      <c r="H34" s="579">
        <f>'T-Rev'!H41*'T-Rev'!$R41</f>
        <v>266.66666666666669</v>
      </c>
      <c r="I34" s="579">
        <f>'T-Rev'!I41*'T-Rev'!$R41</f>
        <v>266.66666666666669</v>
      </c>
      <c r="J34" s="579">
        <f>'T-Rev'!J41*'T-Rev'!$R41</f>
        <v>266.66666666666669</v>
      </c>
      <c r="K34" s="579">
        <f>'T-Rev'!K41*'T-Rev'!$R41</f>
        <v>266.66666666666669</v>
      </c>
      <c r="L34" s="579">
        <f>'T-Rev'!L41*'T-Rev'!$R41</f>
        <v>266.66666666666669</v>
      </c>
      <c r="M34" s="579">
        <f>'T-Rev'!M41*'T-Rev'!$R41</f>
        <v>266.66666666666669</v>
      </c>
      <c r="N34" s="579">
        <f>'T-Rev'!N41*'T-Rev'!$R41</f>
        <v>266.66666666666669</v>
      </c>
      <c r="O34" s="579">
        <f>'T-Rev'!O41*'T-Rev'!$R41</f>
        <v>266.66666666666669</v>
      </c>
      <c r="P34" s="579">
        <f>'T-Rev'!P41*'T-Rev'!$R41</f>
        <v>266.66666666666669</v>
      </c>
    </row>
    <row r="35" spans="1:16" ht="12.75" customHeight="1" x14ac:dyDescent="0.25">
      <c r="A35" s="432"/>
      <c r="B35" s="432" t="s">
        <v>299</v>
      </c>
      <c r="D35" s="260"/>
      <c r="E35" s="579">
        <f>'T-Rev'!E42*'T-Rev'!$R42</f>
        <v>0</v>
      </c>
      <c r="F35" s="579">
        <f>'T-Rev'!F42*'T-Rev'!$R42</f>
        <v>0</v>
      </c>
      <c r="G35" s="629">
        <f>'T-Rev'!G42*'T-Rev'!$R42</f>
        <v>0</v>
      </c>
      <c r="H35" s="579">
        <f>'T-Rev'!H42*'T-Rev'!$R42</f>
        <v>0</v>
      </c>
      <c r="I35" s="579">
        <f>'T-Rev'!I42*'T-Rev'!$R42</f>
        <v>0</v>
      </c>
      <c r="J35" s="579">
        <f>'T-Rev'!J42*'T-Rev'!$R42</f>
        <v>0</v>
      </c>
      <c r="K35" s="579">
        <f>'T-Rev'!K42*'T-Rev'!$R42</f>
        <v>0</v>
      </c>
      <c r="L35" s="579">
        <f>'T-Rev'!L42*'T-Rev'!$R42</f>
        <v>0</v>
      </c>
      <c r="M35" s="579">
        <f>'T-Rev'!M42*'T-Rev'!$R42</f>
        <v>0</v>
      </c>
      <c r="N35" s="579">
        <f>'T-Rev'!N42*'T-Rev'!$R42</f>
        <v>0</v>
      </c>
      <c r="O35" s="579">
        <f>'T-Rev'!O42*'T-Rev'!$R42</f>
        <v>0</v>
      </c>
      <c r="P35" s="579">
        <f>'T-Rev'!P42*'T-Rev'!$R42</f>
        <v>0</v>
      </c>
    </row>
    <row r="36" spans="1:16" ht="12.75" customHeight="1" x14ac:dyDescent="0.25">
      <c r="A36" s="432"/>
      <c r="B36" s="432" t="s">
        <v>299</v>
      </c>
      <c r="D36" s="260"/>
      <c r="E36" s="579">
        <f>'T-Rev'!E43*'T-Rev'!$R43</f>
        <v>0</v>
      </c>
      <c r="F36" s="579">
        <f>'T-Rev'!F43*'T-Rev'!$R43</f>
        <v>0</v>
      </c>
      <c r="G36" s="629">
        <f>'T-Rev'!G43*'T-Rev'!$R43</f>
        <v>0</v>
      </c>
      <c r="H36" s="579">
        <f>'T-Rev'!H43*'T-Rev'!$R43</f>
        <v>0</v>
      </c>
      <c r="I36" s="579">
        <f>'T-Rev'!I43*'T-Rev'!$R43</f>
        <v>0</v>
      </c>
      <c r="J36" s="579">
        <f>'T-Rev'!J43*'T-Rev'!$R43</f>
        <v>0</v>
      </c>
      <c r="K36" s="579">
        <f>'T-Rev'!K43*'T-Rev'!$R43</f>
        <v>0</v>
      </c>
      <c r="L36" s="579">
        <f>'T-Rev'!L43*'T-Rev'!$R43</f>
        <v>0</v>
      </c>
      <c r="M36" s="579">
        <f>'T-Rev'!M43*'T-Rev'!$R43</f>
        <v>0</v>
      </c>
      <c r="N36" s="579">
        <f>'T-Rev'!N43*'T-Rev'!$R43</f>
        <v>0</v>
      </c>
      <c r="O36" s="579">
        <f>'T-Rev'!O43*'T-Rev'!$R43</f>
        <v>0</v>
      </c>
      <c r="P36" s="579">
        <f>'T-Rev'!P43*'T-Rev'!$R43</f>
        <v>0</v>
      </c>
    </row>
    <row r="37" spans="1:16" ht="12.75" customHeight="1" x14ac:dyDescent="0.25">
      <c r="A37" s="432"/>
      <c r="B37" s="432" t="s">
        <v>299</v>
      </c>
      <c r="D37" s="260"/>
      <c r="E37" s="579">
        <f>'T-Rev'!E44*'T-Rev'!$R44</f>
        <v>0</v>
      </c>
      <c r="F37" s="579">
        <f>'T-Rev'!F44*'T-Rev'!$R44</f>
        <v>0</v>
      </c>
      <c r="G37" s="629">
        <f>'T-Rev'!G44*'T-Rev'!$R44</f>
        <v>0</v>
      </c>
      <c r="H37" s="579">
        <f>'T-Rev'!H44*'T-Rev'!$R44</f>
        <v>0</v>
      </c>
      <c r="I37" s="579">
        <f>'T-Rev'!I44*'T-Rev'!$R44</f>
        <v>0</v>
      </c>
      <c r="J37" s="579">
        <f>'T-Rev'!J44*'T-Rev'!$R44</f>
        <v>0</v>
      </c>
      <c r="K37" s="579">
        <f>'T-Rev'!K44*'T-Rev'!$R44</f>
        <v>0</v>
      </c>
      <c r="L37" s="579">
        <f>'T-Rev'!L44*'T-Rev'!$R44</f>
        <v>0</v>
      </c>
      <c r="M37" s="579">
        <f>'T-Rev'!M44*'T-Rev'!$R44</f>
        <v>0</v>
      </c>
      <c r="N37" s="579">
        <f>'T-Rev'!N44*'T-Rev'!$R44</f>
        <v>0</v>
      </c>
      <c r="O37" s="579">
        <f>'T-Rev'!O44*'T-Rev'!$R44</f>
        <v>0</v>
      </c>
      <c r="P37" s="579">
        <f>'T-Rev'!P44*'T-Rev'!$R44</f>
        <v>0</v>
      </c>
    </row>
    <row r="38" spans="1:16" ht="12.75" customHeight="1" x14ac:dyDescent="0.25">
      <c r="A38" s="432"/>
      <c r="B38" s="432" t="s">
        <v>299</v>
      </c>
      <c r="D38" s="260"/>
      <c r="E38" s="579">
        <f>'T-Rev'!E45*'T-Rev'!$R45</f>
        <v>0</v>
      </c>
      <c r="F38" s="579">
        <f>'T-Rev'!F45*'T-Rev'!$R45</f>
        <v>0</v>
      </c>
      <c r="G38" s="629">
        <f>'T-Rev'!G45*'T-Rev'!$R45</f>
        <v>0</v>
      </c>
      <c r="H38" s="579">
        <f>'T-Rev'!H45*'T-Rev'!$R45</f>
        <v>0</v>
      </c>
      <c r="I38" s="579">
        <f>'T-Rev'!I45*'T-Rev'!$R45</f>
        <v>0</v>
      </c>
      <c r="J38" s="579">
        <f>'T-Rev'!J45*'T-Rev'!$R45</f>
        <v>0</v>
      </c>
      <c r="K38" s="579">
        <f>'T-Rev'!K45*'T-Rev'!$R45</f>
        <v>0</v>
      </c>
      <c r="L38" s="579">
        <f>'T-Rev'!L45*'T-Rev'!$R45</f>
        <v>0</v>
      </c>
      <c r="M38" s="579">
        <f>'T-Rev'!M45*'T-Rev'!$R45</f>
        <v>0</v>
      </c>
      <c r="N38" s="579">
        <f>'T-Rev'!N45*'T-Rev'!$R45</f>
        <v>0</v>
      </c>
      <c r="O38" s="579">
        <f>'T-Rev'!O45*'T-Rev'!$R45</f>
        <v>0</v>
      </c>
      <c r="P38" s="579">
        <f>'T-Rev'!P45*'T-Rev'!$R45</f>
        <v>0</v>
      </c>
    </row>
    <row r="39" spans="1:16" ht="12.75" customHeight="1" x14ac:dyDescent="0.25">
      <c r="A39" s="432"/>
      <c r="B39" s="432" t="s">
        <v>299</v>
      </c>
      <c r="D39" s="260"/>
      <c r="E39" s="579">
        <f>'T-Rev'!E46*'T-Rev'!$R46</f>
        <v>0</v>
      </c>
      <c r="F39" s="579">
        <f>'T-Rev'!F46*'T-Rev'!$R46</f>
        <v>0</v>
      </c>
      <c r="G39" s="629">
        <f>'T-Rev'!G46*'T-Rev'!$R46</f>
        <v>0</v>
      </c>
      <c r="H39" s="579">
        <f>'T-Rev'!H46*'T-Rev'!$R46</f>
        <v>0</v>
      </c>
      <c r="I39" s="579">
        <f>'T-Rev'!I46*'T-Rev'!$R46</f>
        <v>0</v>
      </c>
      <c r="J39" s="579">
        <f>'T-Rev'!J46*'T-Rev'!$R46</f>
        <v>0</v>
      </c>
      <c r="K39" s="579">
        <f>'T-Rev'!K46*'T-Rev'!$R46</f>
        <v>0</v>
      </c>
      <c r="L39" s="579">
        <f>'T-Rev'!L46*'T-Rev'!$R46</f>
        <v>0</v>
      </c>
      <c r="M39" s="579">
        <f>'T-Rev'!M46*'T-Rev'!$R46</f>
        <v>0</v>
      </c>
      <c r="N39" s="579">
        <f>'T-Rev'!N46*'T-Rev'!$R46</f>
        <v>0</v>
      </c>
      <c r="O39" s="579">
        <f>'T-Rev'!O46*'T-Rev'!$R46</f>
        <v>0</v>
      </c>
      <c r="P39" s="579">
        <f>'T-Rev'!P46*'T-Rev'!$R46</f>
        <v>0</v>
      </c>
    </row>
    <row r="40" spans="1:16" ht="12.75" customHeight="1" x14ac:dyDescent="0.25">
      <c r="A40" s="432"/>
      <c r="B40" s="432" t="s">
        <v>299</v>
      </c>
      <c r="D40" s="260"/>
      <c r="E40" s="579">
        <f>'T-Rev'!E47*'T-Rev'!$R47</f>
        <v>0</v>
      </c>
      <c r="F40" s="579">
        <f>'T-Rev'!F47*'T-Rev'!$R47</f>
        <v>0</v>
      </c>
      <c r="G40" s="629">
        <f>'T-Rev'!G47*'T-Rev'!$R47</f>
        <v>0</v>
      </c>
      <c r="H40" s="579">
        <f>'T-Rev'!H47*'T-Rev'!$R47</f>
        <v>0</v>
      </c>
      <c r="I40" s="579">
        <f>'T-Rev'!I47*'T-Rev'!$R47</f>
        <v>0</v>
      </c>
      <c r="J40" s="579">
        <f>'T-Rev'!J47*'T-Rev'!$R47</f>
        <v>0</v>
      </c>
      <c r="K40" s="579">
        <f>'T-Rev'!K47*'T-Rev'!$R47</f>
        <v>0</v>
      </c>
      <c r="L40" s="579">
        <f>'T-Rev'!L47*'T-Rev'!$R47</f>
        <v>0</v>
      </c>
      <c r="M40" s="579">
        <f>'T-Rev'!M47*'T-Rev'!$R47</f>
        <v>0</v>
      </c>
      <c r="N40" s="579">
        <f>'T-Rev'!N47*'T-Rev'!$R47</f>
        <v>0</v>
      </c>
      <c r="O40" s="579">
        <f>'T-Rev'!O47*'T-Rev'!$R47</f>
        <v>0</v>
      </c>
      <c r="P40" s="579">
        <f>'T-Rev'!P47*'T-Rev'!$R47</f>
        <v>0</v>
      </c>
    </row>
    <row r="41" spans="1:16" ht="12.75" customHeight="1" x14ac:dyDescent="0.25">
      <c r="A41" s="432"/>
      <c r="B41" s="432" t="s">
        <v>335</v>
      </c>
      <c r="D41" s="260"/>
      <c r="E41" s="579">
        <f>'T-Rev'!E17</f>
        <v>57679.98</v>
      </c>
      <c r="F41" s="579">
        <f>'T-Rev'!F17</f>
        <v>61620</v>
      </c>
      <c r="G41" s="629">
        <f>'T-Rev'!G17</f>
        <v>61621.25</v>
      </c>
      <c r="H41" s="579">
        <f>'T-Rev'!H17</f>
        <v>61617.75</v>
      </c>
      <c r="I41" s="579">
        <f>'T-Rev'!I17</f>
        <v>61609.5</v>
      </c>
      <c r="J41" s="579">
        <f>'T-Rev'!J17</f>
        <v>61596.5</v>
      </c>
      <c r="K41" s="579">
        <f>'T-Rev'!K17</f>
        <v>61578.75</v>
      </c>
      <c r="L41" s="579">
        <f>'T-Rev'!L17</f>
        <v>61556.25</v>
      </c>
      <c r="M41" s="579">
        <f>'T-Rev'!M17</f>
        <v>61529</v>
      </c>
      <c r="N41" s="579">
        <f>'T-Rev'!N17</f>
        <v>61497</v>
      </c>
      <c r="O41" s="579">
        <f>'T-Rev'!O17</f>
        <v>61460.25</v>
      </c>
      <c r="P41" s="579">
        <f>'T-Rev'!P17</f>
        <v>61418.75</v>
      </c>
    </row>
    <row r="42" spans="1:16" ht="12.75" customHeight="1" thickBot="1" x14ac:dyDescent="0.3">
      <c r="A42" s="226"/>
      <c r="B42" s="226"/>
      <c r="C42" s="226"/>
      <c r="D42" s="226"/>
      <c r="E42" s="113"/>
      <c r="F42" s="113"/>
      <c r="G42" s="261"/>
      <c r="H42" s="113"/>
      <c r="I42" s="113"/>
      <c r="J42" s="113"/>
      <c r="K42" s="113"/>
      <c r="L42" s="113"/>
      <c r="M42" s="113"/>
      <c r="N42" s="113"/>
      <c r="O42" s="113"/>
      <c r="P42" s="113"/>
    </row>
    <row r="43" spans="1:16" ht="12.75" customHeight="1" thickTop="1" x14ac:dyDescent="0.25">
      <c r="A43" s="139" t="s">
        <v>24</v>
      </c>
      <c r="B43" s="139"/>
      <c r="C43" s="139"/>
      <c r="D43" s="139"/>
      <c r="E43" s="145">
        <f t="shared" ref="E43:I43" si="23">E23+SUM(E26:E41)</f>
        <v>1841206.0236749998</v>
      </c>
      <c r="F43" s="145">
        <f t="shared" si="23"/>
        <v>1851238.7345499999</v>
      </c>
      <c r="G43" s="175">
        <f t="shared" si="23"/>
        <v>2833447.2672909996</v>
      </c>
      <c r="H43" s="145">
        <f t="shared" si="23"/>
        <v>3074260.6799229998</v>
      </c>
      <c r="I43" s="145">
        <f t="shared" si="23"/>
        <v>3152831.6108275</v>
      </c>
      <c r="J43" s="145">
        <f t="shared" ref="J43:P43" si="24">J23+SUM(J26:J41)</f>
        <v>3232155.9669717452</v>
      </c>
      <c r="K43" s="145">
        <f t="shared" si="24"/>
        <v>3312256.4936129274</v>
      </c>
      <c r="L43" s="145">
        <f t="shared" si="24"/>
        <v>3393156.6183659555</v>
      </c>
      <c r="M43" s="145">
        <f t="shared" si="24"/>
        <v>3480803.435331184</v>
      </c>
      <c r="N43" s="145">
        <f t="shared" si="24"/>
        <v>3569298.8352082693</v>
      </c>
      <c r="O43" s="145">
        <f t="shared" si="24"/>
        <v>3658668.4179845671</v>
      </c>
      <c r="P43" s="145">
        <f t="shared" si="24"/>
        <v>3754861.5153040541</v>
      </c>
    </row>
    <row r="44" spans="1:16" ht="12.75" customHeight="1" thickBot="1" x14ac:dyDescent="0.3">
      <c r="A44" s="115"/>
      <c r="B44" s="115"/>
      <c r="C44" s="115"/>
      <c r="D44" s="115"/>
      <c r="E44" s="115"/>
      <c r="F44" s="115"/>
      <c r="G44" s="262"/>
      <c r="H44" s="115"/>
      <c r="I44" s="115"/>
      <c r="J44" s="115"/>
      <c r="K44" s="115"/>
      <c r="L44" s="115"/>
      <c r="M44" s="115"/>
      <c r="N44" s="115"/>
      <c r="O44" s="115"/>
      <c r="P44" s="115"/>
    </row>
    <row r="45" spans="1:16" ht="12.75" customHeight="1" x14ac:dyDescent="0.25">
      <c r="G45" s="429"/>
    </row>
    <row r="48" spans="1:16" s="3" customFormat="1" ht="12.75" customHeight="1" x14ac:dyDescent="0.25">
      <c r="A48" s="77" t="s">
        <v>244</v>
      </c>
      <c r="B48" s="37"/>
      <c r="C48" s="90"/>
      <c r="D48" s="90"/>
      <c r="E48" s="63"/>
      <c r="F48" s="63"/>
      <c r="G48" s="63"/>
      <c r="H48" s="63"/>
      <c r="I48" s="63"/>
      <c r="J48" s="63"/>
      <c r="K48" s="63"/>
      <c r="L48" s="63"/>
      <c r="M48" s="63"/>
      <c r="N48" s="63"/>
      <c r="O48" s="63"/>
      <c r="P48" s="63"/>
    </row>
    <row r="49" spans="1:16" s="3" customFormat="1" ht="12.75" customHeight="1" x14ac:dyDescent="0.25">
      <c r="A49" s="77" t="s">
        <v>176</v>
      </c>
      <c r="B49" s="37"/>
      <c r="C49" s="90"/>
      <c r="D49" s="90"/>
      <c r="E49" s="4"/>
      <c r="F49" s="4"/>
      <c r="G49" s="4"/>
      <c r="H49" s="4"/>
      <c r="I49" s="4"/>
      <c r="J49" s="4"/>
      <c r="K49" s="4"/>
      <c r="L49" s="4"/>
      <c r="M49" s="4"/>
      <c r="N49" s="4"/>
      <c r="O49" s="4"/>
      <c r="P49" s="4"/>
    </row>
    <row r="50" spans="1:16" s="3" customFormat="1" ht="12.75" customHeight="1" thickBot="1" x14ac:dyDescent="0.3">
      <c r="A50" s="78" t="s">
        <v>428</v>
      </c>
      <c r="B50" s="91"/>
      <c r="C50" s="92"/>
      <c r="D50" s="92"/>
      <c r="E50" s="7"/>
      <c r="F50" s="7"/>
      <c r="G50" s="7"/>
      <c r="H50" s="7"/>
      <c r="I50" s="7"/>
      <c r="J50" s="7"/>
      <c r="K50" s="7"/>
      <c r="L50" s="7"/>
      <c r="M50" s="7"/>
      <c r="N50" s="7"/>
      <c r="O50" s="7"/>
      <c r="P50" s="7"/>
    </row>
    <row r="51" spans="1:16" s="3" customFormat="1" ht="12.75" customHeight="1" x14ac:dyDescent="0.25">
      <c r="A51" s="645" t="s">
        <v>215</v>
      </c>
      <c r="B51" s="645"/>
      <c r="C51" s="645"/>
      <c r="D51" s="214"/>
      <c r="E51" s="215">
        <f>Sum!E$5</f>
        <v>2023</v>
      </c>
      <c r="F51" s="215">
        <f>Sum!F$5</f>
        <v>2024</v>
      </c>
      <c r="G51" s="216">
        <f>Sum!G$5</f>
        <v>2025</v>
      </c>
      <c r="H51" s="215">
        <f>Sum!H$5</f>
        <v>2026</v>
      </c>
      <c r="I51" s="215">
        <f>Sum!I$5</f>
        <v>2027</v>
      </c>
      <c r="J51" s="215">
        <f>Sum!J$5</f>
        <v>2028</v>
      </c>
      <c r="K51" s="215">
        <f>Sum!K$5</f>
        <v>2029</v>
      </c>
      <c r="L51" s="215">
        <f>Sum!L$5</f>
        <v>2030</v>
      </c>
      <c r="M51" s="215">
        <f>Sum!M$5</f>
        <v>2031</v>
      </c>
      <c r="N51" s="215">
        <f>Sum!N$5</f>
        <v>2032</v>
      </c>
      <c r="O51" s="215">
        <f>Sum!O$5</f>
        <v>2033</v>
      </c>
      <c r="P51" s="215">
        <f>Sum!P$5</f>
        <v>2034</v>
      </c>
    </row>
    <row r="52" spans="1:16" s="3" customFormat="1" ht="12.75" customHeight="1" x14ac:dyDescent="0.25">
      <c r="A52" s="16"/>
      <c r="B52" s="37"/>
      <c r="C52" s="37"/>
      <c r="D52" s="37"/>
      <c r="G52" s="151"/>
    </row>
    <row r="53" spans="1:16" s="3" customFormat="1" ht="12.75" customHeight="1" x14ac:dyDescent="0.25">
      <c r="A53" s="29" t="s">
        <v>204</v>
      </c>
      <c r="B53" s="37"/>
      <c r="C53" s="37"/>
      <c r="D53" s="37"/>
      <c r="G53" s="151"/>
    </row>
    <row r="54" spans="1:16" s="3" customFormat="1" ht="12.75" customHeight="1" x14ac:dyDescent="0.25">
      <c r="A54" s="29"/>
      <c r="B54" s="148" t="s">
        <v>223</v>
      </c>
      <c r="C54" s="37"/>
      <c r="D54" s="37"/>
      <c r="G54" s="151"/>
    </row>
    <row r="55" spans="1:16" s="3" customFormat="1" ht="12.75" customHeight="1" x14ac:dyDescent="0.25">
      <c r="B55" s="117" t="s">
        <v>214</v>
      </c>
      <c r="C55" s="3" t="s">
        <v>205</v>
      </c>
      <c r="E55" s="13">
        <f>'W-Dem'!E9*Sum!E263*'W-Rev'!$D$247*12</f>
        <v>298644.57</v>
      </c>
      <c r="F55" s="13">
        <f>'W-Dem'!F9*Sum!F263*'W-Rev'!$D$247*12</f>
        <v>298644.57</v>
      </c>
      <c r="G55" s="153">
        <f>'W-Dem'!G9*Sum!G263*'W-Rev'!$D$247*12</f>
        <v>522627.99749999994</v>
      </c>
      <c r="H55" s="13">
        <f>'W-Dem'!H9*Sum!H263*'W-Rev'!$D$247*12</f>
        <v>574890.79725000006</v>
      </c>
      <c r="I55" s="13">
        <f>'W-Dem'!I9*Sum!I263*'W-Rev'!$D$247*12</f>
        <v>592137.52116750018</v>
      </c>
      <c r="J55" s="13">
        <f>'W-Dem'!J9*Sum!J263*'W-Rev'!$D$247*12</f>
        <v>609901.64680252527</v>
      </c>
      <c r="K55" s="13">
        <f>'W-Dem'!K9*Sum!K263*'W-Rev'!$D$247*12</f>
        <v>628198.69620660087</v>
      </c>
      <c r="L55" s="13">
        <f>'W-Dem'!L9*Sum!L263*'W-Rev'!$D$247*12</f>
        <v>647044.65709279897</v>
      </c>
      <c r="M55" s="13">
        <f>'W-Dem'!M9*Sum!M263*'W-Rev'!$D$247*12</f>
        <v>666455.99680558301</v>
      </c>
      <c r="N55" s="13">
        <f>'W-Dem'!N9*Sum!N263*'W-Rev'!$D$247*12</f>
        <v>686449.67670975055</v>
      </c>
      <c r="O55" s="13">
        <f>'W-Dem'!O9*Sum!O263*'W-Rev'!$D$247*12</f>
        <v>707043.16701104294</v>
      </c>
      <c r="P55" s="13">
        <f>'W-Dem'!P9*Sum!P263*'W-Rev'!$D$247*12</f>
        <v>728254.46202137426</v>
      </c>
    </row>
    <row r="56" spans="1:16" s="3" customFormat="1" ht="12.75" customHeight="1" x14ac:dyDescent="0.25">
      <c r="B56" s="117" t="s">
        <v>207</v>
      </c>
      <c r="C56" s="3" t="s">
        <v>205</v>
      </c>
      <c r="E56" s="13">
        <f>'W-Dem'!E321*Sum!E$264*D247*12</f>
        <v>0</v>
      </c>
      <c r="F56" s="13">
        <f>'W-Dem'!F321*Sum!F$264*D247*12</f>
        <v>0</v>
      </c>
      <c r="G56" s="153">
        <f>'W-Dem'!G321*Sum!G$264*D247*12</f>
        <v>0</v>
      </c>
      <c r="H56" s="13">
        <f>'W-Dem'!H321*Sum!H$264*D247*12</f>
        <v>0</v>
      </c>
      <c r="I56" s="13">
        <f>'W-Dem'!I321*Sum!I$264*$D$247*12</f>
        <v>0</v>
      </c>
      <c r="J56" s="13">
        <f>'W-Dem'!J321*Sum!J$264*$D$247*12</f>
        <v>0</v>
      </c>
      <c r="K56" s="13">
        <f>'W-Dem'!K321*Sum!K$264*$D$247*12</f>
        <v>0</v>
      </c>
      <c r="L56" s="13">
        <f>'W-Dem'!L321*Sum!L$264*$D$247*12</f>
        <v>0</v>
      </c>
      <c r="M56" s="13">
        <f>'W-Dem'!M321*Sum!M$264*$D$247*12</f>
        <v>0</v>
      </c>
      <c r="N56" s="13">
        <f>'W-Dem'!N321*Sum!N$264*$D$247*12</f>
        <v>0</v>
      </c>
      <c r="O56" s="13">
        <f>'W-Dem'!O321*Sum!O$264*$D$247*12</f>
        <v>0</v>
      </c>
      <c r="P56" s="13">
        <f>'W-Dem'!P321*Sum!P$264*$D$247*12</f>
        <v>0</v>
      </c>
    </row>
    <row r="57" spans="1:16" s="3" customFormat="1" ht="12.75" customHeight="1" x14ac:dyDescent="0.25">
      <c r="B57" s="117" t="s">
        <v>208</v>
      </c>
      <c r="C57" s="3" t="s">
        <v>205</v>
      </c>
      <c r="E57" s="13">
        <f>'W-Dem'!E322*Sum!E$265*D247*12</f>
        <v>0</v>
      </c>
      <c r="F57" s="13">
        <f>'W-Dem'!F322*Sum!F$265*D247*12</f>
        <v>0</v>
      </c>
      <c r="G57" s="153">
        <f>'W-Dem'!G322*Sum!G$265*D247*12</f>
        <v>0</v>
      </c>
      <c r="H57" s="13">
        <f>'W-Dem'!H322*Sum!H$265*D247*12</f>
        <v>0</v>
      </c>
      <c r="I57" s="13">
        <f>'W-Dem'!I322*Sum!I$265*$D$247*12</f>
        <v>0</v>
      </c>
      <c r="J57" s="13">
        <f>'W-Dem'!J322*Sum!J$265*$D$247*12</f>
        <v>0</v>
      </c>
      <c r="K57" s="13">
        <f>'W-Dem'!K322*Sum!K$265*$D$247*12</f>
        <v>0</v>
      </c>
      <c r="L57" s="13">
        <f>'W-Dem'!L322*Sum!L$265*$D$247*12</f>
        <v>0</v>
      </c>
      <c r="M57" s="13">
        <f>'W-Dem'!M322*Sum!M$265*$D$247*12</f>
        <v>0</v>
      </c>
      <c r="N57" s="13">
        <f>'W-Dem'!N322*Sum!N$265*$D$247*12</f>
        <v>0</v>
      </c>
      <c r="O57" s="13">
        <f>'W-Dem'!O322*Sum!O$265*$D$247*12</f>
        <v>0</v>
      </c>
      <c r="P57" s="13">
        <f>'W-Dem'!P322*Sum!P$265*$D$247*12</f>
        <v>0</v>
      </c>
    </row>
    <row r="58" spans="1:16" s="3" customFormat="1" ht="12.75" customHeight="1" x14ac:dyDescent="0.25">
      <c r="B58" s="117" t="s">
        <v>209</v>
      </c>
      <c r="C58" s="3" t="s">
        <v>205</v>
      </c>
      <c r="E58" s="13">
        <f>'W-Dem'!E323*Sum!E$266*D247*12</f>
        <v>0</v>
      </c>
      <c r="F58" s="13">
        <f>'W-Dem'!F323*Sum!F$266*D247*12</f>
        <v>0</v>
      </c>
      <c r="G58" s="153">
        <f>'W-Dem'!G323*Sum!G$266*D247*12</f>
        <v>0</v>
      </c>
      <c r="H58" s="13">
        <f>'W-Dem'!H323*Sum!H$266*D247*12</f>
        <v>0</v>
      </c>
      <c r="I58" s="13">
        <f>'W-Dem'!I323*Sum!I$266*$D$247*12</f>
        <v>0</v>
      </c>
      <c r="J58" s="13">
        <f>'W-Dem'!J323*Sum!J$266*$D$247*12</f>
        <v>0</v>
      </c>
      <c r="K58" s="13">
        <f>'W-Dem'!K323*Sum!K$266*$D$247*12</f>
        <v>0</v>
      </c>
      <c r="L58" s="13">
        <f>'W-Dem'!L323*Sum!L$266*$D$247*12</f>
        <v>0</v>
      </c>
      <c r="M58" s="13">
        <f>'W-Dem'!M323*Sum!M$266*$D$247*12</f>
        <v>0</v>
      </c>
      <c r="N58" s="13">
        <f>'W-Dem'!N323*Sum!N$266*$D$247*12</f>
        <v>0</v>
      </c>
      <c r="O58" s="13">
        <f>'W-Dem'!O323*Sum!O$266*$D$247*12</f>
        <v>0</v>
      </c>
      <c r="P58" s="13">
        <f>'W-Dem'!P323*Sum!P$266*$D$247*12</f>
        <v>0</v>
      </c>
    </row>
    <row r="59" spans="1:16" s="3" customFormat="1" ht="12.75" customHeight="1" x14ac:dyDescent="0.25">
      <c r="B59" s="117" t="s">
        <v>210</v>
      </c>
      <c r="C59" s="3" t="s">
        <v>205</v>
      </c>
      <c r="E59" s="13">
        <f>'W-Dem'!E324*Sum!E$267*D247*12</f>
        <v>0</v>
      </c>
      <c r="F59" s="13">
        <f>'W-Dem'!F324*Sum!F$267*D247*12</f>
        <v>0</v>
      </c>
      <c r="G59" s="153">
        <f>'W-Dem'!G324*Sum!G$267*D247*12</f>
        <v>0</v>
      </c>
      <c r="H59" s="13">
        <f>'W-Dem'!H324*Sum!H$267*D247*12</f>
        <v>0</v>
      </c>
      <c r="I59" s="13">
        <f>'W-Dem'!I324*Sum!I$267*$D$247*12</f>
        <v>0</v>
      </c>
      <c r="J59" s="13">
        <f>'W-Dem'!J324*Sum!J$267*$D$247*12</f>
        <v>0</v>
      </c>
      <c r="K59" s="13">
        <f>'W-Dem'!K324*Sum!K$267*$D$247*12</f>
        <v>0</v>
      </c>
      <c r="L59" s="13">
        <f>'W-Dem'!L324*Sum!L$267*$D$247*12</f>
        <v>0</v>
      </c>
      <c r="M59" s="13">
        <f>'W-Dem'!M324*Sum!M$267*$D$247*12</f>
        <v>0</v>
      </c>
      <c r="N59" s="13">
        <f>'W-Dem'!N324*Sum!N$267*$D$247*12</f>
        <v>0</v>
      </c>
      <c r="O59" s="13">
        <f>'W-Dem'!O324*Sum!O$267*$D$247*12</f>
        <v>0</v>
      </c>
      <c r="P59" s="13">
        <f>'W-Dem'!P324*Sum!P$267*$D$247*12</f>
        <v>0</v>
      </c>
    </row>
    <row r="60" spans="1:16" s="3" customFormat="1" ht="12.75" customHeight="1" x14ac:dyDescent="0.25">
      <c r="B60" s="117" t="s">
        <v>211</v>
      </c>
      <c r="C60" s="3" t="s">
        <v>205</v>
      </c>
      <c r="E60" s="13">
        <f>'W-Dem'!E325*Sum!E$268*D247*12</f>
        <v>0</v>
      </c>
      <c r="F60" s="13">
        <f>'W-Dem'!F325*Sum!F$268*D247*12</f>
        <v>0</v>
      </c>
      <c r="G60" s="153">
        <f>'W-Dem'!G325*Sum!G$268*D247*12</f>
        <v>0</v>
      </c>
      <c r="H60" s="13">
        <f>'W-Dem'!H325*Sum!H$268*D247*12</f>
        <v>0</v>
      </c>
      <c r="I60" s="13">
        <f>'W-Dem'!I325*Sum!I$268*$D$247*12</f>
        <v>0</v>
      </c>
      <c r="J60" s="13">
        <f>'W-Dem'!J325*Sum!J$268*$D$247*12</f>
        <v>0</v>
      </c>
      <c r="K60" s="13">
        <f>'W-Dem'!K325*Sum!K$268*$D$247*12</f>
        <v>0</v>
      </c>
      <c r="L60" s="13">
        <f>'W-Dem'!L325*Sum!L$268*$D$247*12</f>
        <v>0</v>
      </c>
      <c r="M60" s="13">
        <f>'W-Dem'!M325*Sum!M$268*$D$247*12</f>
        <v>0</v>
      </c>
      <c r="N60" s="13">
        <f>'W-Dem'!N325*Sum!N$268*$D$247*12</f>
        <v>0</v>
      </c>
      <c r="O60" s="13">
        <f>'W-Dem'!O325*Sum!O$268*$D$247*12</f>
        <v>0</v>
      </c>
      <c r="P60" s="13">
        <f>'W-Dem'!P325*Sum!P$268*$D$247*12</f>
        <v>0</v>
      </c>
    </row>
    <row r="61" spans="1:16" s="3" customFormat="1" ht="12.75" customHeight="1" x14ac:dyDescent="0.25">
      <c r="B61" s="117" t="s">
        <v>212</v>
      </c>
      <c r="C61" s="3" t="s">
        <v>205</v>
      </c>
      <c r="E61" s="13">
        <f>'W-Dem'!E326*Sum!E$269*D247*12</f>
        <v>0</v>
      </c>
      <c r="F61" s="13">
        <f>'W-Dem'!F326*Sum!F$269*D247*12</f>
        <v>0</v>
      </c>
      <c r="G61" s="153">
        <f>'W-Dem'!G326*Sum!G$269*D247*12</f>
        <v>0</v>
      </c>
      <c r="H61" s="13">
        <f>'W-Dem'!H326*Sum!H$269*D247*12</f>
        <v>0</v>
      </c>
      <c r="I61" s="13">
        <f>'W-Dem'!I326*Sum!I$269*$D$247*12</f>
        <v>0</v>
      </c>
      <c r="J61" s="13">
        <f>'W-Dem'!J326*Sum!J$269*$D$247*12</f>
        <v>0</v>
      </c>
      <c r="K61" s="13">
        <f>'W-Dem'!K326*Sum!K$269*$D$247*12</f>
        <v>0</v>
      </c>
      <c r="L61" s="13">
        <f>'W-Dem'!L326*Sum!L$269*$D$247*12</f>
        <v>0</v>
      </c>
      <c r="M61" s="13">
        <f>'W-Dem'!M326*Sum!M$269*$D$247*12</f>
        <v>0</v>
      </c>
      <c r="N61" s="13">
        <f>'W-Dem'!N326*Sum!N$269*$D$247*12</f>
        <v>0</v>
      </c>
      <c r="O61" s="13">
        <f>'W-Dem'!O326*Sum!O$269*$D$247*12</f>
        <v>0</v>
      </c>
      <c r="P61" s="13">
        <f>'W-Dem'!P326*Sum!P$269*$D$247*12</f>
        <v>0</v>
      </c>
    </row>
    <row r="62" spans="1:16" s="3" customFormat="1" ht="12.75" customHeight="1" x14ac:dyDescent="0.25">
      <c r="B62" s="137" t="s">
        <v>213</v>
      </c>
      <c r="C62" s="93" t="s">
        <v>205</v>
      </c>
      <c r="D62" s="93"/>
      <c r="E62" s="30">
        <f>'W-Dem'!E327*Sum!E$270*D247*12</f>
        <v>0</v>
      </c>
      <c r="F62" s="30">
        <f>'W-Dem'!F327*Sum!F$270*D247*12</f>
        <v>0</v>
      </c>
      <c r="G62" s="154">
        <f>'W-Dem'!G327*Sum!G$270*D247*12</f>
        <v>0</v>
      </c>
      <c r="H62" s="30">
        <f>'W-Dem'!H327*Sum!H$270*D247*12</f>
        <v>0</v>
      </c>
      <c r="I62" s="30">
        <f>'W-Dem'!I327*Sum!I$270*$D$247*12</f>
        <v>0</v>
      </c>
      <c r="J62" s="30">
        <f>'W-Dem'!J327*Sum!J$270*$D$247*12</f>
        <v>0</v>
      </c>
      <c r="K62" s="30">
        <f>'W-Dem'!K327*Sum!K$270*$D$247*12</f>
        <v>0</v>
      </c>
      <c r="L62" s="30">
        <f>'W-Dem'!L327*Sum!L$270*$D$247*12</f>
        <v>0</v>
      </c>
      <c r="M62" s="30">
        <f>'W-Dem'!M327*Sum!M$270*$D$247*12</f>
        <v>0</v>
      </c>
      <c r="N62" s="30">
        <f>'W-Dem'!N327*Sum!N$270*$D$247*12</f>
        <v>0</v>
      </c>
      <c r="O62" s="30">
        <f>'W-Dem'!O327*Sum!O$270*$D$247*12</f>
        <v>0</v>
      </c>
      <c r="P62" s="30">
        <f>'W-Dem'!P327*Sum!P$270*$D$247*12</f>
        <v>0</v>
      </c>
    </row>
    <row r="63" spans="1:16" s="3" customFormat="1" ht="12.75" customHeight="1" x14ac:dyDescent="0.25">
      <c r="A63" s="16"/>
      <c r="B63" s="3" t="s">
        <v>203</v>
      </c>
      <c r="C63" s="37"/>
      <c r="D63" s="37"/>
      <c r="E63" s="20">
        <f t="shared" ref="E63:I63" si="25">SUM(E55:E62)</f>
        <v>298644.57</v>
      </c>
      <c r="F63" s="20">
        <f t="shared" si="25"/>
        <v>298644.57</v>
      </c>
      <c r="G63" s="153">
        <f t="shared" si="25"/>
        <v>522627.99749999994</v>
      </c>
      <c r="H63" s="13">
        <f t="shared" si="25"/>
        <v>574890.79725000006</v>
      </c>
      <c r="I63" s="13">
        <f t="shared" si="25"/>
        <v>592137.52116750018</v>
      </c>
      <c r="J63" s="13">
        <f t="shared" ref="J63:P63" si="26">SUM(J55:J62)</f>
        <v>609901.64680252527</v>
      </c>
      <c r="K63" s="13">
        <f t="shared" si="26"/>
        <v>628198.69620660087</v>
      </c>
      <c r="L63" s="13">
        <f t="shared" si="26"/>
        <v>647044.65709279897</v>
      </c>
      <c r="M63" s="13">
        <f t="shared" si="26"/>
        <v>666455.99680558301</v>
      </c>
      <c r="N63" s="13">
        <f t="shared" si="26"/>
        <v>686449.67670975055</v>
      </c>
      <c r="O63" s="13">
        <f t="shared" si="26"/>
        <v>707043.16701104294</v>
      </c>
      <c r="P63" s="13">
        <f t="shared" si="26"/>
        <v>728254.46202137426</v>
      </c>
    </row>
    <row r="64" spans="1:16" s="3" customFormat="1" ht="12.75" customHeight="1" x14ac:dyDescent="0.25">
      <c r="A64" s="16"/>
      <c r="C64" s="37"/>
      <c r="D64" s="37"/>
      <c r="E64" s="13"/>
      <c r="F64" s="13"/>
      <c r="G64" s="153"/>
      <c r="H64" s="13"/>
      <c r="I64" s="13"/>
      <c r="J64" s="13"/>
      <c r="K64" s="13"/>
      <c r="L64" s="13"/>
      <c r="M64" s="13"/>
      <c r="N64" s="13"/>
      <c r="O64" s="13"/>
      <c r="P64" s="13"/>
    </row>
    <row r="65" spans="1:16" s="3" customFormat="1" ht="12.75" customHeight="1" x14ac:dyDescent="0.25">
      <c r="A65" s="29"/>
      <c r="B65" s="148" t="s">
        <v>320</v>
      </c>
      <c r="C65" s="37"/>
      <c r="D65" s="37"/>
      <c r="G65" s="151"/>
    </row>
    <row r="66" spans="1:16" s="3" customFormat="1" ht="12.75" customHeight="1" x14ac:dyDescent="0.25">
      <c r="B66" s="117" t="s">
        <v>214</v>
      </c>
      <c r="C66" s="3" t="s">
        <v>205</v>
      </c>
      <c r="E66" s="13">
        <f>'W-Dem'!E10*Sum!E264*'W-Rev'!$D$247*12</f>
        <v>72860.58</v>
      </c>
      <c r="F66" s="13">
        <f>'W-Dem'!F10*Sum!F264*'W-Rev'!$D$247*12</f>
        <v>72860.58</v>
      </c>
      <c r="G66" s="153">
        <f>'W-Dem'!G10*Sum!G264*'W-Rev'!$D$247*12</f>
        <v>127506.01499999998</v>
      </c>
      <c r="H66" s="13">
        <f>'W-Dem'!H10*Sum!H264*'W-Rev'!$D$247*12</f>
        <v>140256.6165</v>
      </c>
      <c r="I66" s="13">
        <f>'W-Dem'!I10*Sum!I264*'W-Rev'!$D$247*12</f>
        <v>144464.31499500005</v>
      </c>
      <c r="J66" s="13">
        <f>'W-Dem'!J10*Sum!J264*'W-Rev'!$D$247*12</f>
        <v>148798.24444485005</v>
      </c>
      <c r="K66" s="13">
        <f>'W-Dem'!K10*Sum!K264*'W-Rev'!$D$247*12</f>
        <v>153262.19177819556</v>
      </c>
      <c r="L66" s="13">
        <f>'W-Dem'!L10*Sum!L264*'W-Rev'!$D$247*12</f>
        <v>157860.05753154142</v>
      </c>
      <c r="M66" s="13">
        <f>'W-Dem'!M10*Sum!M264*'W-Rev'!$D$247*12</f>
        <v>162595.85925748767</v>
      </c>
      <c r="N66" s="13">
        <f>'W-Dem'!N10*Sum!N264*'W-Rev'!$D$247*12</f>
        <v>167473.73503521227</v>
      </c>
      <c r="O66" s="13">
        <f>'W-Dem'!O10*Sum!O264*'W-Rev'!$D$247*12</f>
        <v>172497.94708626869</v>
      </c>
      <c r="P66" s="13">
        <f>'W-Dem'!P10*Sum!P264*'W-Rev'!$D$247*12</f>
        <v>177672.88549885672</v>
      </c>
    </row>
    <row r="67" spans="1:16" s="3" customFormat="1" ht="12.75" customHeight="1" x14ac:dyDescent="0.25">
      <c r="B67" s="117" t="s">
        <v>207</v>
      </c>
      <c r="C67" s="3" t="s">
        <v>205</v>
      </c>
      <c r="E67" s="13">
        <f>'W-Dem'!E333*Sum!E$264*D247*12</f>
        <v>0</v>
      </c>
      <c r="F67" s="13">
        <f>'W-Dem'!F333*Sum!F$264*D247*12</f>
        <v>0</v>
      </c>
      <c r="G67" s="153">
        <f>'W-Dem'!G333*Sum!G$264*D247*12</f>
        <v>0</v>
      </c>
      <c r="H67" s="13">
        <f>'W-Dem'!H333*Sum!H$264*D247*12</f>
        <v>0</v>
      </c>
      <c r="I67" s="13">
        <f>'W-Dem'!I333*Sum!I$264*$D$247*12</f>
        <v>0</v>
      </c>
      <c r="J67" s="13">
        <f>'W-Dem'!J333*Sum!J$264*$D$247*12</f>
        <v>0</v>
      </c>
      <c r="K67" s="13">
        <f>'W-Dem'!K333*Sum!K$264*$D$247*12</f>
        <v>0</v>
      </c>
      <c r="L67" s="13">
        <f>'W-Dem'!L333*Sum!L$264*$D$247*12</f>
        <v>0</v>
      </c>
      <c r="M67" s="13">
        <f>'W-Dem'!M333*Sum!M$264*$D$247*12</f>
        <v>0</v>
      </c>
      <c r="N67" s="13">
        <f>'W-Dem'!N333*Sum!N$264*$D$247*12</f>
        <v>0</v>
      </c>
      <c r="O67" s="13">
        <f>'W-Dem'!O333*Sum!O$264*$D$247*12</f>
        <v>0</v>
      </c>
      <c r="P67" s="13">
        <f>'W-Dem'!P333*Sum!P$264*$D$247*12</f>
        <v>0</v>
      </c>
    </row>
    <row r="68" spans="1:16" s="3" customFormat="1" ht="12.75" customHeight="1" x14ac:dyDescent="0.25">
      <c r="B68" s="117" t="s">
        <v>208</v>
      </c>
      <c r="C68" s="3" t="s">
        <v>205</v>
      </c>
      <c r="E68" s="13">
        <f>'W-Dem'!E334*Sum!E$265*D247*12</f>
        <v>0</v>
      </c>
      <c r="F68" s="13">
        <f>'W-Dem'!F334*Sum!F$265*D247*12</f>
        <v>0</v>
      </c>
      <c r="G68" s="153">
        <f>'W-Dem'!G334*Sum!G$265*D247*12</f>
        <v>0</v>
      </c>
      <c r="H68" s="13">
        <f>'W-Dem'!H334*Sum!H$265*D247*12</f>
        <v>0</v>
      </c>
      <c r="I68" s="13">
        <f>'W-Dem'!I334*Sum!I$265*$D$247*12</f>
        <v>0</v>
      </c>
      <c r="J68" s="13">
        <f>'W-Dem'!J334*Sum!J$265*$D$247*12</f>
        <v>0</v>
      </c>
      <c r="K68" s="13">
        <f>'W-Dem'!K334*Sum!K$265*$D$247*12</f>
        <v>0</v>
      </c>
      <c r="L68" s="13">
        <f>'W-Dem'!L334*Sum!L$265*$D$247*12</f>
        <v>0</v>
      </c>
      <c r="M68" s="13">
        <f>'W-Dem'!M334*Sum!M$265*$D$247*12</f>
        <v>0</v>
      </c>
      <c r="N68" s="13">
        <f>'W-Dem'!N334*Sum!N$265*$D$247*12</f>
        <v>0</v>
      </c>
      <c r="O68" s="13">
        <f>'W-Dem'!O334*Sum!O$265*$D$247*12</f>
        <v>0</v>
      </c>
      <c r="P68" s="13">
        <f>'W-Dem'!P334*Sum!P$265*$D$247*12</f>
        <v>0</v>
      </c>
    </row>
    <row r="69" spans="1:16" s="3" customFormat="1" ht="12.75" customHeight="1" x14ac:dyDescent="0.25">
      <c r="B69" s="117" t="s">
        <v>209</v>
      </c>
      <c r="C69" s="3" t="s">
        <v>205</v>
      </c>
      <c r="E69" s="13">
        <f>'W-Dem'!E325*Sum!E$266*D247*12</f>
        <v>0</v>
      </c>
      <c r="F69" s="13">
        <f>'W-Dem'!F325*Sum!F$266*D247*12</f>
        <v>0</v>
      </c>
      <c r="G69" s="153">
        <f>'W-Dem'!G325*Sum!G$266*D247*12</f>
        <v>0</v>
      </c>
      <c r="H69" s="13">
        <f>'W-Dem'!H325*Sum!H$266*D247*12</f>
        <v>0</v>
      </c>
      <c r="I69" s="13">
        <f>'W-Dem'!I325*Sum!I$266*$D$247*12</f>
        <v>0</v>
      </c>
      <c r="J69" s="13">
        <f>'W-Dem'!J325*Sum!J$266*$D$247*12</f>
        <v>0</v>
      </c>
      <c r="K69" s="13">
        <f>'W-Dem'!K325*Sum!K$266*$D$247*12</f>
        <v>0</v>
      </c>
      <c r="L69" s="13">
        <f>'W-Dem'!L325*Sum!L$266*$D$247*12</f>
        <v>0</v>
      </c>
      <c r="M69" s="13">
        <f>'W-Dem'!M325*Sum!M$266*$D$247*12</f>
        <v>0</v>
      </c>
      <c r="N69" s="13">
        <f>'W-Dem'!N325*Sum!N$266*$D$247*12</f>
        <v>0</v>
      </c>
      <c r="O69" s="13">
        <f>'W-Dem'!O325*Sum!O$266*$D$247*12</f>
        <v>0</v>
      </c>
      <c r="P69" s="13">
        <f>'W-Dem'!P325*Sum!P$266*$D$247*12</f>
        <v>0</v>
      </c>
    </row>
    <row r="70" spans="1:16" s="3" customFormat="1" ht="12.75" customHeight="1" x14ac:dyDescent="0.25">
      <c r="B70" s="117" t="s">
        <v>210</v>
      </c>
      <c r="C70" s="3" t="s">
        <v>205</v>
      </c>
      <c r="E70" s="13">
        <f>'W-Dem'!E336*Sum!E$267*D247*12</f>
        <v>0</v>
      </c>
      <c r="F70" s="13">
        <f>'W-Dem'!F336*Sum!F$267*D247*12</f>
        <v>0</v>
      </c>
      <c r="G70" s="153">
        <f>'W-Dem'!G336*Sum!G$267*D247*12</f>
        <v>0</v>
      </c>
      <c r="H70" s="13">
        <f>'W-Dem'!H336*Sum!H$267*D247*12</f>
        <v>0</v>
      </c>
      <c r="I70" s="13">
        <f>'W-Dem'!I336*Sum!I$267*$D$247*12</f>
        <v>0</v>
      </c>
      <c r="J70" s="13">
        <f>'W-Dem'!J336*Sum!J$267*$D$247*12</f>
        <v>0</v>
      </c>
      <c r="K70" s="13">
        <f>'W-Dem'!K336*Sum!K$267*$D$247*12</f>
        <v>0</v>
      </c>
      <c r="L70" s="13">
        <f>'W-Dem'!L336*Sum!L$267*$D$247*12</f>
        <v>0</v>
      </c>
      <c r="M70" s="13">
        <f>'W-Dem'!M336*Sum!M$267*$D$247*12</f>
        <v>0</v>
      </c>
      <c r="N70" s="13">
        <f>'W-Dem'!N336*Sum!N$267*$D$247*12</f>
        <v>0</v>
      </c>
      <c r="O70" s="13">
        <f>'W-Dem'!O336*Sum!O$267*$D$247*12</f>
        <v>0</v>
      </c>
      <c r="P70" s="13">
        <f>'W-Dem'!P336*Sum!P$267*$D$247*12</f>
        <v>0</v>
      </c>
    </row>
    <row r="71" spans="1:16" s="3" customFormat="1" ht="12.75" customHeight="1" x14ac:dyDescent="0.25">
      <c r="B71" s="117" t="s">
        <v>211</v>
      </c>
      <c r="C71" s="3" t="s">
        <v>205</v>
      </c>
      <c r="E71" s="13">
        <f>'W-Dem'!E337*Sum!E$268*D247*12</f>
        <v>0</v>
      </c>
      <c r="F71" s="13">
        <f>'W-Dem'!F337*Sum!F$268*D247*12</f>
        <v>0</v>
      </c>
      <c r="G71" s="153">
        <f>'W-Dem'!G337*Sum!G$268*D247*12</f>
        <v>0</v>
      </c>
      <c r="H71" s="13">
        <f>'W-Dem'!H337*Sum!H$268*D247*12</f>
        <v>0</v>
      </c>
      <c r="I71" s="13">
        <f>'W-Dem'!I337*Sum!I$268*$D$247*12</f>
        <v>0</v>
      </c>
      <c r="J71" s="13">
        <f>'W-Dem'!J337*Sum!J$268*$D$247*12</f>
        <v>0</v>
      </c>
      <c r="K71" s="13">
        <f>'W-Dem'!K337*Sum!K$268*$D$247*12</f>
        <v>0</v>
      </c>
      <c r="L71" s="13">
        <f>'W-Dem'!L337*Sum!L$268*$D$247*12</f>
        <v>0</v>
      </c>
      <c r="M71" s="13">
        <f>'W-Dem'!M337*Sum!M$268*$D$247*12</f>
        <v>0</v>
      </c>
      <c r="N71" s="13">
        <f>'W-Dem'!N337*Sum!N$268*$D$247*12</f>
        <v>0</v>
      </c>
      <c r="O71" s="13">
        <f>'W-Dem'!O337*Sum!O$268*$D$247*12</f>
        <v>0</v>
      </c>
      <c r="P71" s="13">
        <f>'W-Dem'!P337*Sum!P$268*$D$247*12</f>
        <v>0</v>
      </c>
    </row>
    <row r="72" spans="1:16" s="3" customFormat="1" ht="12.75" customHeight="1" x14ac:dyDescent="0.25">
      <c r="B72" s="117" t="s">
        <v>212</v>
      </c>
      <c r="C72" s="3" t="s">
        <v>205</v>
      </c>
      <c r="E72" s="13">
        <f>'W-Dem'!E338*Sum!E$269*D247*12</f>
        <v>0</v>
      </c>
      <c r="F72" s="13">
        <f>'W-Dem'!F338*Sum!F$269*D247*12</f>
        <v>0</v>
      </c>
      <c r="G72" s="153">
        <f>'W-Dem'!G338*Sum!G$269*D247*12</f>
        <v>0</v>
      </c>
      <c r="H72" s="13">
        <f>'W-Dem'!H338*Sum!H$269*D247*12</f>
        <v>0</v>
      </c>
      <c r="I72" s="13">
        <f>'W-Dem'!I338*Sum!I$269*$D$247*12</f>
        <v>0</v>
      </c>
      <c r="J72" s="13">
        <f>'W-Dem'!J338*Sum!J$269*$D$247*12</f>
        <v>0</v>
      </c>
      <c r="K72" s="13">
        <f>'W-Dem'!K338*Sum!K$269*$D$247*12</f>
        <v>0</v>
      </c>
      <c r="L72" s="13">
        <f>'W-Dem'!L338*Sum!L$269*$D$247*12</f>
        <v>0</v>
      </c>
      <c r="M72" s="13">
        <f>'W-Dem'!M338*Sum!M$269*$D$247*12</f>
        <v>0</v>
      </c>
      <c r="N72" s="13">
        <f>'W-Dem'!N338*Sum!N$269*$D$247*12</f>
        <v>0</v>
      </c>
      <c r="O72" s="13">
        <f>'W-Dem'!O338*Sum!O$269*$D$247*12</f>
        <v>0</v>
      </c>
      <c r="P72" s="13">
        <f>'W-Dem'!P338*Sum!P$269*$D$247*12</f>
        <v>0</v>
      </c>
    </row>
    <row r="73" spans="1:16" s="3" customFormat="1" ht="12.75" customHeight="1" x14ac:dyDescent="0.25">
      <c r="B73" s="213" t="s">
        <v>213</v>
      </c>
      <c r="C73" s="22" t="s">
        <v>205</v>
      </c>
      <c r="D73" s="22"/>
      <c r="E73" s="30">
        <f>'W-Dem'!E339*Sum!E$270*D247*12</f>
        <v>0</v>
      </c>
      <c r="F73" s="30">
        <f>'W-Dem'!F339*Sum!F$270*D247*12</f>
        <v>0</v>
      </c>
      <c r="G73" s="154">
        <f>'W-Dem'!G339*Sum!G$270*D247*12</f>
        <v>0</v>
      </c>
      <c r="H73" s="30">
        <f>'W-Dem'!H339*Sum!H$270*D247*12</f>
        <v>0</v>
      </c>
      <c r="I73" s="30">
        <f>'W-Dem'!I339*Sum!I$270*$D$247*12</f>
        <v>0</v>
      </c>
      <c r="J73" s="30">
        <f>'W-Dem'!J339*Sum!J$270*$D$247*12</f>
        <v>0</v>
      </c>
      <c r="K73" s="30">
        <f>'W-Dem'!K339*Sum!K$270*$D$247*12</f>
        <v>0</v>
      </c>
      <c r="L73" s="30">
        <f>'W-Dem'!L339*Sum!L$270*$D$247*12</f>
        <v>0</v>
      </c>
      <c r="M73" s="30">
        <f>'W-Dem'!M339*Sum!M$270*$D$247*12</f>
        <v>0</v>
      </c>
      <c r="N73" s="30">
        <f>'W-Dem'!N339*Sum!N$270*$D$247*12</f>
        <v>0</v>
      </c>
      <c r="O73" s="30">
        <f>'W-Dem'!O339*Sum!O$270*$D$247*12</f>
        <v>0</v>
      </c>
      <c r="P73" s="30">
        <f>'W-Dem'!P339*Sum!P$270*$D$247*12</f>
        <v>0</v>
      </c>
    </row>
    <row r="74" spans="1:16" s="3" customFormat="1" ht="12.75" customHeight="1" x14ac:dyDescent="0.25">
      <c r="A74" s="16"/>
      <c r="B74" s="3" t="s">
        <v>344</v>
      </c>
      <c r="C74" s="37"/>
      <c r="D74" s="37"/>
      <c r="E74" s="20">
        <f t="shared" ref="E74:I74" si="27">SUM(E66:E73)</f>
        <v>72860.58</v>
      </c>
      <c r="F74" s="20">
        <f t="shared" si="27"/>
        <v>72860.58</v>
      </c>
      <c r="G74" s="153">
        <f t="shared" si="27"/>
        <v>127506.01499999998</v>
      </c>
      <c r="H74" s="13">
        <f t="shared" si="27"/>
        <v>140256.6165</v>
      </c>
      <c r="I74" s="13">
        <f t="shared" si="27"/>
        <v>144464.31499500005</v>
      </c>
      <c r="J74" s="13">
        <f t="shared" ref="J74:P74" si="28">SUM(J66:J73)</f>
        <v>148798.24444485005</v>
      </c>
      <c r="K74" s="13">
        <f t="shared" si="28"/>
        <v>153262.19177819556</v>
      </c>
      <c r="L74" s="13">
        <f t="shared" si="28"/>
        <v>157860.05753154142</v>
      </c>
      <c r="M74" s="13">
        <f t="shared" si="28"/>
        <v>162595.85925748767</v>
      </c>
      <c r="N74" s="13">
        <f t="shared" si="28"/>
        <v>167473.73503521227</v>
      </c>
      <c r="O74" s="13">
        <f t="shared" si="28"/>
        <v>172497.94708626869</v>
      </c>
      <c r="P74" s="13">
        <f t="shared" si="28"/>
        <v>177672.88549885672</v>
      </c>
    </row>
    <row r="75" spans="1:16" s="3" customFormat="1" ht="12.75" customHeight="1" x14ac:dyDescent="0.25">
      <c r="A75" s="16"/>
      <c r="C75" s="37"/>
      <c r="D75" s="37"/>
      <c r="E75" s="13"/>
      <c r="F75" s="13"/>
      <c r="G75" s="153"/>
      <c r="H75" s="13"/>
      <c r="I75" s="13"/>
      <c r="J75" s="13"/>
      <c r="K75" s="13"/>
      <c r="L75" s="13"/>
      <c r="M75" s="13"/>
      <c r="N75" s="13"/>
      <c r="O75" s="13"/>
      <c r="P75" s="13"/>
    </row>
    <row r="76" spans="1:16" s="3" customFormat="1" ht="12.75" customHeight="1" x14ac:dyDescent="0.25">
      <c r="A76" s="29"/>
      <c r="B76" s="148" t="s">
        <v>299</v>
      </c>
      <c r="C76" s="37"/>
      <c r="D76" s="37"/>
      <c r="G76" s="151"/>
    </row>
    <row r="77" spans="1:16" s="3" customFormat="1" ht="12.75" customHeight="1" x14ac:dyDescent="0.25">
      <c r="B77" s="117" t="s">
        <v>214</v>
      </c>
      <c r="C77" s="3" t="s">
        <v>205</v>
      </c>
      <c r="E77" s="13">
        <f>'W-Dem'!E344*Sum!E$263*D247*12</f>
        <v>0</v>
      </c>
      <c r="F77" s="13">
        <f>'W-Dem'!F344*Sum!F$263*D247*12</f>
        <v>0</v>
      </c>
      <c r="G77" s="153">
        <f>'W-Dem'!G344*Sum!G$263*D247*12</f>
        <v>0</v>
      </c>
      <c r="H77" s="13">
        <f>'W-Dem'!H344*Sum!H$263*D247*12</f>
        <v>0</v>
      </c>
      <c r="I77" s="13">
        <f>'W-Dem'!I344*Sum!I$263*$D$247*12</f>
        <v>0</v>
      </c>
      <c r="J77" s="13">
        <f>'W-Dem'!J344*Sum!J$263*$D$247*12</f>
        <v>0</v>
      </c>
      <c r="K77" s="13">
        <f>'W-Dem'!K344*Sum!K$263*$D$247*12</f>
        <v>0</v>
      </c>
      <c r="L77" s="13">
        <f>'W-Dem'!L344*Sum!L$263*$D$247*12</f>
        <v>0</v>
      </c>
      <c r="M77" s="13">
        <f>'W-Dem'!M344*Sum!M$263*$D$247*12</f>
        <v>0</v>
      </c>
      <c r="N77" s="13">
        <f>'W-Dem'!N344*Sum!N$263*$D$247*12</f>
        <v>0</v>
      </c>
      <c r="O77" s="13">
        <f>'W-Dem'!O344*Sum!O$263*$D$247*12</f>
        <v>0</v>
      </c>
      <c r="P77" s="13">
        <f>'W-Dem'!P344*Sum!P$263*$D$247*12</f>
        <v>0</v>
      </c>
    </row>
    <row r="78" spans="1:16" s="3" customFormat="1" ht="12.75" customHeight="1" x14ac:dyDescent="0.25">
      <c r="B78" s="117" t="s">
        <v>207</v>
      </c>
      <c r="C78" s="3" t="s">
        <v>205</v>
      </c>
      <c r="E78" s="13">
        <f>'W-Dem'!E345*Sum!E$264*D247*12</f>
        <v>0</v>
      </c>
      <c r="F78" s="13">
        <f>'W-Dem'!F345*Sum!F$264*D247*12</f>
        <v>0</v>
      </c>
      <c r="G78" s="153">
        <f>'W-Dem'!G345*Sum!G$264*D247*12</f>
        <v>0</v>
      </c>
      <c r="H78" s="13">
        <f>'W-Dem'!H345*Sum!H$264*D247*12</f>
        <v>0</v>
      </c>
      <c r="I78" s="13">
        <f>'W-Dem'!I345*Sum!I$264*$D$247*12</f>
        <v>0</v>
      </c>
      <c r="J78" s="13">
        <f>'W-Dem'!J345*Sum!J$264*$D$247*12</f>
        <v>0</v>
      </c>
      <c r="K78" s="13">
        <f>'W-Dem'!K345*Sum!K$264*$D$247*12</f>
        <v>0</v>
      </c>
      <c r="L78" s="13">
        <f>'W-Dem'!L345*Sum!L$264*$D$247*12</f>
        <v>0</v>
      </c>
      <c r="M78" s="13">
        <f>'W-Dem'!M345*Sum!M$264*$D$247*12</f>
        <v>0</v>
      </c>
      <c r="N78" s="13">
        <f>'W-Dem'!N345*Sum!N$264*$D$247*12</f>
        <v>0</v>
      </c>
      <c r="O78" s="13">
        <f>'W-Dem'!O345*Sum!O$264*$D$247*12</f>
        <v>0</v>
      </c>
      <c r="P78" s="13">
        <f>'W-Dem'!P345*Sum!P$264*$D$247*12</f>
        <v>0</v>
      </c>
    </row>
    <row r="79" spans="1:16" s="3" customFormat="1" ht="12.75" customHeight="1" x14ac:dyDescent="0.25">
      <c r="B79" s="117" t="s">
        <v>208</v>
      </c>
      <c r="C79" s="3" t="s">
        <v>205</v>
      </c>
      <c r="E79" s="13">
        <f>'W-Dem'!E346*Sum!E$265*D247*12</f>
        <v>0</v>
      </c>
      <c r="F79" s="13">
        <f>'W-Dem'!F346*Sum!F$265*D247*12</f>
        <v>0</v>
      </c>
      <c r="G79" s="153">
        <f>'W-Dem'!G346*Sum!G$265*D247*12</f>
        <v>0</v>
      </c>
      <c r="H79" s="13">
        <f>'W-Dem'!H346*Sum!H$265*D247*12</f>
        <v>0</v>
      </c>
      <c r="I79" s="13">
        <f>'W-Dem'!I346*Sum!I$265*$D$247*12</f>
        <v>0</v>
      </c>
      <c r="J79" s="13">
        <f>'W-Dem'!J346*Sum!J$265*$D$247*12</f>
        <v>0</v>
      </c>
      <c r="K79" s="13">
        <f>'W-Dem'!K346*Sum!K$265*$D$247*12</f>
        <v>0</v>
      </c>
      <c r="L79" s="13">
        <f>'W-Dem'!L346*Sum!L$265*$D$247*12</f>
        <v>0</v>
      </c>
      <c r="M79" s="13">
        <f>'W-Dem'!M346*Sum!M$265*$D$247*12</f>
        <v>0</v>
      </c>
      <c r="N79" s="13">
        <f>'W-Dem'!N346*Sum!N$265*$D$247*12</f>
        <v>0</v>
      </c>
      <c r="O79" s="13">
        <f>'W-Dem'!O346*Sum!O$265*$D$247*12</f>
        <v>0</v>
      </c>
      <c r="P79" s="13">
        <f>'W-Dem'!P346*Sum!P$265*$D$247*12</f>
        <v>0</v>
      </c>
    </row>
    <row r="80" spans="1:16" s="3" customFormat="1" ht="12.75" customHeight="1" x14ac:dyDescent="0.25">
      <c r="B80" s="117" t="s">
        <v>209</v>
      </c>
      <c r="C80" s="3" t="s">
        <v>205</v>
      </c>
      <c r="E80" s="13">
        <f>'W-Dem'!E337*Sum!E$266*D247*12</f>
        <v>0</v>
      </c>
      <c r="F80" s="13">
        <f>'W-Dem'!F337*Sum!F$266*D247*12</f>
        <v>0</v>
      </c>
      <c r="G80" s="153">
        <f>'W-Dem'!G337*Sum!G$266*D247*12</f>
        <v>0</v>
      </c>
      <c r="H80" s="13">
        <f>'W-Dem'!H337*Sum!H$266*D247*12</f>
        <v>0</v>
      </c>
      <c r="I80" s="13">
        <f>'W-Dem'!I337*Sum!I$266*$D$247*12</f>
        <v>0</v>
      </c>
      <c r="J80" s="13">
        <f>'W-Dem'!J337*Sum!J$266*$D$247*12</f>
        <v>0</v>
      </c>
      <c r="K80" s="13">
        <f>'W-Dem'!K337*Sum!K$266*$D$247*12</f>
        <v>0</v>
      </c>
      <c r="L80" s="13">
        <f>'W-Dem'!L337*Sum!L$266*$D$247*12</f>
        <v>0</v>
      </c>
      <c r="M80" s="13">
        <f>'W-Dem'!M337*Sum!M$266*$D$247*12</f>
        <v>0</v>
      </c>
      <c r="N80" s="13">
        <f>'W-Dem'!N337*Sum!N$266*$D$247*12</f>
        <v>0</v>
      </c>
      <c r="O80" s="13">
        <f>'W-Dem'!O337*Sum!O$266*$D$247*12</f>
        <v>0</v>
      </c>
      <c r="P80" s="13">
        <f>'W-Dem'!P337*Sum!P$266*$D$247*12</f>
        <v>0</v>
      </c>
    </row>
    <row r="81" spans="1:16" s="3" customFormat="1" ht="12.75" customHeight="1" x14ac:dyDescent="0.25">
      <c r="B81" s="117" t="s">
        <v>210</v>
      </c>
      <c r="C81" s="3" t="s">
        <v>205</v>
      </c>
      <c r="E81" s="13">
        <f>'W-Dem'!E348*Sum!E$267*D247*12</f>
        <v>0</v>
      </c>
      <c r="F81" s="13">
        <f>'W-Dem'!F348*Sum!F$267*D247*12</f>
        <v>0</v>
      </c>
      <c r="G81" s="153">
        <f>'W-Dem'!G348*Sum!G$267*D247*12</f>
        <v>0</v>
      </c>
      <c r="H81" s="13">
        <f>'W-Dem'!H348*Sum!H$267*D247*12</f>
        <v>0</v>
      </c>
      <c r="I81" s="13">
        <f>'W-Dem'!I348*Sum!I$267*$D$247*12</f>
        <v>0</v>
      </c>
      <c r="J81" s="13">
        <f>'W-Dem'!J348*Sum!J$267*$D$247*12</f>
        <v>0</v>
      </c>
      <c r="K81" s="13">
        <f>'W-Dem'!K348*Sum!K$267*$D$247*12</f>
        <v>0</v>
      </c>
      <c r="L81" s="13">
        <f>'W-Dem'!L348*Sum!L$267*$D$247*12</f>
        <v>0</v>
      </c>
      <c r="M81" s="13">
        <f>'W-Dem'!M348*Sum!M$267*$D$247*12</f>
        <v>0</v>
      </c>
      <c r="N81" s="13">
        <f>'W-Dem'!N348*Sum!N$267*$D$247*12</f>
        <v>0</v>
      </c>
      <c r="O81" s="13">
        <f>'W-Dem'!O348*Sum!O$267*$D$247*12</f>
        <v>0</v>
      </c>
      <c r="P81" s="13">
        <f>'W-Dem'!P348*Sum!P$267*$D$247*12</f>
        <v>0</v>
      </c>
    </row>
    <row r="82" spans="1:16" s="3" customFormat="1" ht="12.75" customHeight="1" x14ac:dyDescent="0.25">
      <c r="B82" s="117" t="s">
        <v>211</v>
      </c>
      <c r="C82" s="3" t="s">
        <v>205</v>
      </c>
      <c r="E82" s="13">
        <f>'W-Dem'!E349*Sum!E$268*D247*12</f>
        <v>0</v>
      </c>
      <c r="F82" s="13">
        <f>'W-Dem'!F349*Sum!F$268*D247*12</f>
        <v>0</v>
      </c>
      <c r="G82" s="153">
        <f>'W-Dem'!G349*Sum!G$268*D247*12</f>
        <v>0</v>
      </c>
      <c r="H82" s="13">
        <f>'W-Dem'!H349*Sum!H$268*D247*12</f>
        <v>0</v>
      </c>
      <c r="I82" s="13">
        <f>'W-Dem'!I349*Sum!I$268*$D$247*12</f>
        <v>0</v>
      </c>
      <c r="J82" s="13">
        <f>'W-Dem'!J349*Sum!J$268*$D$247*12</f>
        <v>0</v>
      </c>
      <c r="K82" s="13">
        <f>'W-Dem'!K349*Sum!K$268*$D$247*12</f>
        <v>0</v>
      </c>
      <c r="L82" s="13">
        <f>'W-Dem'!L349*Sum!L$268*$D$247*12</f>
        <v>0</v>
      </c>
      <c r="M82" s="13">
        <f>'W-Dem'!M349*Sum!M$268*$D$247*12</f>
        <v>0</v>
      </c>
      <c r="N82" s="13">
        <f>'W-Dem'!N349*Sum!N$268*$D$247*12</f>
        <v>0</v>
      </c>
      <c r="O82" s="13">
        <f>'W-Dem'!O349*Sum!O$268*$D$247*12</f>
        <v>0</v>
      </c>
      <c r="P82" s="13">
        <f>'W-Dem'!P349*Sum!P$268*$D$247*12</f>
        <v>0</v>
      </c>
    </row>
    <row r="83" spans="1:16" s="3" customFormat="1" ht="12.75" customHeight="1" x14ac:dyDescent="0.25">
      <c r="B83" s="117" t="s">
        <v>212</v>
      </c>
      <c r="C83" s="3" t="s">
        <v>205</v>
      </c>
      <c r="E83" s="13">
        <f>'W-Dem'!E350*Sum!E$269*D247*12</f>
        <v>0</v>
      </c>
      <c r="F83" s="13">
        <f>'W-Dem'!F350*Sum!F$269*D247*12</f>
        <v>0</v>
      </c>
      <c r="G83" s="153">
        <f>'W-Dem'!G350*Sum!G$269*D247*12</f>
        <v>0</v>
      </c>
      <c r="H83" s="13">
        <f>'W-Dem'!H350*Sum!H$269*D247*12</f>
        <v>0</v>
      </c>
      <c r="I83" s="13">
        <f>'W-Dem'!I350*Sum!I$269*$D$247*12</f>
        <v>0</v>
      </c>
      <c r="J83" s="13">
        <f>'W-Dem'!J350*Sum!J$269*$D$247*12</f>
        <v>0</v>
      </c>
      <c r="K83" s="13">
        <f>'W-Dem'!K350*Sum!K$269*$D$247*12</f>
        <v>0</v>
      </c>
      <c r="L83" s="13">
        <f>'W-Dem'!L350*Sum!L$269*$D$247*12</f>
        <v>0</v>
      </c>
      <c r="M83" s="13">
        <f>'W-Dem'!M350*Sum!M$269*$D$247*12</f>
        <v>0</v>
      </c>
      <c r="N83" s="13">
        <f>'W-Dem'!N350*Sum!N$269*$D$247*12</f>
        <v>0</v>
      </c>
      <c r="O83" s="13">
        <f>'W-Dem'!O350*Sum!O$269*$D$247*12</f>
        <v>0</v>
      </c>
      <c r="P83" s="13">
        <f>'W-Dem'!P350*Sum!P$269*$D$247*12</f>
        <v>0</v>
      </c>
    </row>
    <row r="84" spans="1:16" s="3" customFormat="1" ht="12.75" customHeight="1" x14ac:dyDescent="0.25">
      <c r="B84" s="213" t="s">
        <v>213</v>
      </c>
      <c r="C84" s="22" t="s">
        <v>205</v>
      </c>
      <c r="D84" s="22"/>
      <c r="E84" s="30">
        <f>'W-Dem'!E351*Sum!E$270*D247*12</f>
        <v>0</v>
      </c>
      <c r="F84" s="30">
        <f>'W-Dem'!F351*Sum!F$270*D247*12</f>
        <v>0</v>
      </c>
      <c r="G84" s="154">
        <f>'W-Dem'!G351*Sum!G$270*D247*12</f>
        <v>0</v>
      </c>
      <c r="H84" s="30">
        <f>'W-Dem'!H351*Sum!H$270*D247*12</f>
        <v>0</v>
      </c>
      <c r="I84" s="30">
        <f>'W-Dem'!I351*Sum!I$270*$D$247*12</f>
        <v>0</v>
      </c>
      <c r="J84" s="30">
        <f>'W-Dem'!J351*Sum!J$270*$D$247*12</f>
        <v>0</v>
      </c>
      <c r="K84" s="30">
        <f>'W-Dem'!K351*Sum!K$270*$D$247*12</f>
        <v>0</v>
      </c>
      <c r="L84" s="30">
        <f>'W-Dem'!L351*Sum!L$270*$D$247*12</f>
        <v>0</v>
      </c>
      <c r="M84" s="30">
        <f>'W-Dem'!M351*Sum!M$270*$D$247*12</f>
        <v>0</v>
      </c>
      <c r="N84" s="30">
        <f>'W-Dem'!N351*Sum!N$270*$D$247*12</f>
        <v>0</v>
      </c>
      <c r="O84" s="30">
        <f>'W-Dem'!O351*Sum!O$270*$D$247*12</f>
        <v>0</v>
      </c>
      <c r="P84" s="30">
        <f>'W-Dem'!P351*Sum!P$270*$D$247*12</f>
        <v>0</v>
      </c>
    </row>
    <row r="85" spans="1:16" s="3" customFormat="1" ht="12.75" customHeight="1" x14ac:dyDescent="0.25">
      <c r="A85" s="16"/>
      <c r="B85" s="3" t="s">
        <v>341</v>
      </c>
      <c r="C85" s="37"/>
      <c r="D85" s="37"/>
      <c r="E85" s="20">
        <f t="shared" ref="E85:I85" si="29">SUM(E77:E84)</f>
        <v>0</v>
      </c>
      <c r="F85" s="20">
        <f t="shared" si="29"/>
        <v>0</v>
      </c>
      <c r="G85" s="153">
        <f t="shared" si="29"/>
        <v>0</v>
      </c>
      <c r="H85" s="13">
        <f t="shared" si="29"/>
        <v>0</v>
      </c>
      <c r="I85" s="13">
        <f t="shared" si="29"/>
        <v>0</v>
      </c>
      <c r="J85" s="13">
        <f t="shared" ref="J85:P85" si="30">SUM(J77:J84)</f>
        <v>0</v>
      </c>
      <c r="K85" s="13">
        <f t="shared" si="30"/>
        <v>0</v>
      </c>
      <c r="L85" s="13">
        <f t="shared" si="30"/>
        <v>0</v>
      </c>
      <c r="M85" s="13">
        <f t="shared" si="30"/>
        <v>0</v>
      </c>
      <c r="N85" s="13">
        <f t="shared" si="30"/>
        <v>0</v>
      </c>
      <c r="O85" s="13">
        <f t="shared" si="30"/>
        <v>0</v>
      </c>
      <c r="P85" s="13">
        <f t="shared" si="30"/>
        <v>0</v>
      </c>
    </row>
    <row r="86" spans="1:16" s="3" customFormat="1" ht="12.75" customHeight="1" x14ac:dyDescent="0.25">
      <c r="A86" s="16"/>
      <c r="C86" s="37"/>
      <c r="D86" s="37"/>
      <c r="E86" s="13"/>
      <c r="F86" s="13"/>
      <c r="G86" s="153"/>
      <c r="H86" s="13"/>
      <c r="I86" s="13"/>
      <c r="J86" s="13"/>
      <c r="K86" s="13"/>
      <c r="L86" s="13"/>
      <c r="M86" s="13"/>
      <c r="N86" s="13"/>
      <c r="O86" s="13"/>
      <c r="P86" s="13"/>
    </row>
    <row r="87" spans="1:16" s="3" customFormat="1" ht="12.75" customHeight="1" x14ac:dyDescent="0.25">
      <c r="A87" s="29"/>
      <c r="B87" s="148" t="s">
        <v>299</v>
      </c>
      <c r="C87" s="37"/>
      <c r="D87" s="37"/>
      <c r="G87" s="151"/>
    </row>
    <row r="88" spans="1:16" s="3" customFormat="1" ht="12.75" customHeight="1" x14ac:dyDescent="0.25">
      <c r="B88" s="117" t="s">
        <v>214</v>
      </c>
      <c r="C88" s="3" t="s">
        <v>205</v>
      </c>
      <c r="E88" s="13">
        <f>'W-Dem'!E356*Sum!E$263*D247*12</f>
        <v>0</v>
      </c>
      <c r="F88" s="13">
        <f>'W-Dem'!F356*Sum!F$263*D247*12</f>
        <v>0</v>
      </c>
      <c r="G88" s="153">
        <f>'W-Dem'!G356*Sum!G$263*D247*12</f>
        <v>0</v>
      </c>
      <c r="H88" s="13">
        <f>'W-Dem'!H356*Sum!H$263*D247*12</f>
        <v>0</v>
      </c>
      <c r="I88" s="13">
        <f>'W-Dem'!I356*Sum!I$263*$D$247*12</f>
        <v>0</v>
      </c>
      <c r="J88" s="13">
        <f>'W-Dem'!J356*Sum!J$263*$D$247*12</f>
        <v>0</v>
      </c>
      <c r="K88" s="13">
        <f>'W-Dem'!K356*Sum!K$263*$D$247*12</f>
        <v>0</v>
      </c>
      <c r="L88" s="13">
        <f>'W-Dem'!L356*Sum!L$263*$D$247*12</f>
        <v>0</v>
      </c>
      <c r="M88" s="13">
        <f>'W-Dem'!M356*Sum!M$263*$D$247*12</f>
        <v>0</v>
      </c>
      <c r="N88" s="13">
        <f>'W-Dem'!N356*Sum!N$263*$D$247*12</f>
        <v>0</v>
      </c>
      <c r="O88" s="13">
        <f>'W-Dem'!O356*Sum!O$263*$D$247*12</f>
        <v>0</v>
      </c>
      <c r="P88" s="13">
        <f>'W-Dem'!P356*Sum!P$263*$D$247*12</f>
        <v>0</v>
      </c>
    </row>
    <row r="89" spans="1:16" s="3" customFormat="1" ht="12.75" customHeight="1" x14ac:dyDescent="0.25">
      <c r="B89" s="117" t="s">
        <v>207</v>
      </c>
      <c r="C89" s="3" t="s">
        <v>205</v>
      </c>
      <c r="E89" s="13">
        <f>'W-Dem'!E357*Sum!E$264*D247*12</f>
        <v>0</v>
      </c>
      <c r="F89" s="13">
        <f>'W-Dem'!F357*Sum!F$264*D247*12</f>
        <v>0</v>
      </c>
      <c r="G89" s="153">
        <f>'W-Dem'!G357*Sum!G$264*D247*12</f>
        <v>0</v>
      </c>
      <c r="H89" s="13">
        <f>'W-Dem'!H357*Sum!H$264*D247*12</f>
        <v>0</v>
      </c>
      <c r="I89" s="13">
        <f>'W-Dem'!I357*Sum!I$264*$D$247*12</f>
        <v>0</v>
      </c>
      <c r="J89" s="13">
        <f>'W-Dem'!J357*Sum!J$264*$D$247*12</f>
        <v>0</v>
      </c>
      <c r="K89" s="13">
        <f>'W-Dem'!K357*Sum!K$264*$D$247*12</f>
        <v>0</v>
      </c>
      <c r="L89" s="13">
        <f>'W-Dem'!L357*Sum!L$264*$D$247*12</f>
        <v>0</v>
      </c>
      <c r="M89" s="13">
        <f>'W-Dem'!M357*Sum!M$264*$D$247*12</f>
        <v>0</v>
      </c>
      <c r="N89" s="13">
        <f>'W-Dem'!N357*Sum!N$264*$D$247*12</f>
        <v>0</v>
      </c>
      <c r="O89" s="13">
        <f>'W-Dem'!O357*Sum!O$264*$D$247*12</f>
        <v>0</v>
      </c>
      <c r="P89" s="13">
        <f>'W-Dem'!P357*Sum!P$264*$D$247*12</f>
        <v>0</v>
      </c>
    </row>
    <row r="90" spans="1:16" s="3" customFormat="1" ht="12.75" customHeight="1" x14ac:dyDescent="0.25">
      <c r="B90" s="117" t="s">
        <v>208</v>
      </c>
      <c r="C90" s="3" t="s">
        <v>205</v>
      </c>
      <c r="E90" s="13">
        <f>'W-Dem'!E358*Sum!E$265*D247*12</f>
        <v>0</v>
      </c>
      <c r="F90" s="13">
        <f>'W-Dem'!F358*Sum!F$265*D247*12</f>
        <v>0</v>
      </c>
      <c r="G90" s="153">
        <f>'W-Dem'!G358*Sum!G$265*D247*12</f>
        <v>0</v>
      </c>
      <c r="H90" s="13">
        <f>'W-Dem'!H358*Sum!H$265*D247*12</f>
        <v>0</v>
      </c>
      <c r="I90" s="13">
        <f>'W-Dem'!I358*Sum!I$265*$D$247*12</f>
        <v>0</v>
      </c>
      <c r="J90" s="13">
        <f>'W-Dem'!J358*Sum!J$265*$D$247*12</f>
        <v>0</v>
      </c>
      <c r="K90" s="13">
        <f>'W-Dem'!K358*Sum!K$265*$D$247*12</f>
        <v>0</v>
      </c>
      <c r="L90" s="13">
        <f>'W-Dem'!L358*Sum!L$265*$D$247*12</f>
        <v>0</v>
      </c>
      <c r="M90" s="13">
        <f>'W-Dem'!M358*Sum!M$265*$D$247*12</f>
        <v>0</v>
      </c>
      <c r="N90" s="13">
        <f>'W-Dem'!N358*Sum!N$265*$D$247*12</f>
        <v>0</v>
      </c>
      <c r="O90" s="13">
        <f>'W-Dem'!O358*Sum!O$265*$D$247*12</f>
        <v>0</v>
      </c>
      <c r="P90" s="13">
        <f>'W-Dem'!P358*Sum!P$265*$D$247*12</f>
        <v>0</v>
      </c>
    </row>
    <row r="91" spans="1:16" s="3" customFormat="1" ht="12.75" customHeight="1" x14ac:dyDescent="0.25">
      <c r="B91" s="117" t="s">
        <v>209</v>
      </c>
      <c r="C91" s="3" t="s">
        <v>205</v>
      </c>
      <c r="E91" s="13">
        <f>'W-Dem'!E349*Sum!E$266*D247*12</f>
        <v>0</v>
      </c>
      <c r="F91" s="13">
        <f>'W-Dem'!F349*Sum!F$266*D247*12</f>
        <v>0</v>
      </c>
      <c r="G91" s="153">
        <f>'W-Dem'!G349*Sum!G$266*D247*12</f>
        <v>0</v>
      </c>
      <c r="H91" s="13">
        <f>'W-Dem'!H349*Sum!H$266*D247*12</f>
        <v>0</v>
      </c>
      <c r="I91" s="13">
        <f>'W-Dem'!I349*Sum!I$266*$D$247*12</f>
        <v>0</v>
      </c>
      <c r="J91" s="13">
        <f>'W-Dem'!J349*Sum!J$266*$D$247*12</f>
        <v>0</v>
      </c>
      <c r="K91" s="13">
        <f>'W-Dem'!K349*Sum!K$266*$D$247*12</f>
        <v>0</v>
      </c>
      <c r="L91" s="13">
        <f>'W-Dem'!L349*Sum!L$266*$D$247*12</f>
        <v>0</v>
      </c>
      <c r="M91" s="13">
        <f>'W-Dem'!M349*Sum!M$266*$D$247*12</f>
        <v>0</v>
      </c>
      <c r="N91" s="13">
        <f>'W-Dem'!N349*Sum!N$266*$D$247*12</f>
        <v>0</v>
      </c>
      <c r="O91" s="13">
        <f>'W-Dem'!O349*Sum!O$266*$D$247*12</f>
        <v>0</v>
      </c>
      <c r="P91" s="13">
        <f>'W-Dem'!P349*Sum!P$266*$D$247*12</f>
        <v>0</v>
      </c>
    </row>
    <row r="92" spans="1:16" s="3" customFormat="1" ht="12.75" customHeight="1" x14ac:dyDescent="0.25">
      <c r="B92" s="117" t="s">
        <v>210</v>
      </c>
      <c r="C92" s="3" t="s">
        <v>205</v>
      </c>
      <c r="E92" s="13">
        <f>'W-Dem'!E360*Sum!E$267*D247*12</f>
        <v>0</v>
      </c>
      <c r="F92" s="13">
        <f>'W-Dem'!F360*Sum!F$267*D247*12</f>
        <v>0</v>
      </c>
      <c r="G92" s="153">
        <f>'W-Dem'!G360*Sum!G$267*D247*12</f>
        <v>0</v>
      </c>
      <c r="H92" s="13">
        <f>'W-Dem'!H360*Sum!H$267*D247*12</f>
        <v>0</v>
      </c>
      <c r="I92" s="13">
        <f>'W-Dem'!I360*Sum!I$267*$D$247*12</f>
        <v>0</v>
      </c>
      <c r="J92" s="13">
        <f>'W-Dem'!J360*Sum!J$267*$D$247*12</f>
        <v>0</v>
      </c>
      <c r="K92" s="13">
        <f>'W-Dem'!K360*Sum!K$267*$D$247*12</f>
        <v>0</v>
      </c>
      <c r="L92" s="13">
        <f>'W-Dem'!L360*Sum!L$267*$D$247*12</f>
        <v>0</v>
      </c>
      <c r="M92" s="13">
        <f>'W-Dem'!M360*Sum!M$267*$D$247*12</f>
        <v>0</v>
      </c>
      <c r="N92" s="13">
        <f>'W-Dem'!N360*Sum!N$267*$D$247*12</f>
        <v>0</v>
      </c>
      <c r="O92" s="13">
        <f>'W-Dem'!O360*Sum!O$267*$D$247*12</f>
        <v>0</v>
      </c>
      <c r="P92" s="13">
        <f>'W-Dem'!P360*Sum!P$267*$D$247*12</f>
        <v>0</v>
      </c>
    </row>
    <row r="93" spans="1:16" s="3" customFormat="1" ht="12.75" customHeight="1" x14ac:dyDescent="0.25">
      <c r="B93" s="117" t="s">
        <v>211</v>
      </c>
      <c r="C93" s="3" t="s">
        <v>205</v>
      </c>
      <c r="E93" s="13">
        <f>'W-Dem'!E361*Sum!E$268*D247*12</f>
        <v>0</v>
      </c>
      <c r="F93" s="13">
        <f>'W-Dem'!F361*Sum!F$268*D247*12</f>
        <v>0</v>
      </c>
      <c r="G93" s="153">
        <f>'W-Dem'!G361*Sum!G$268*D247*12</f>
        <v>0</v>
      </c>
      <c r="H93" s="13">
        <f>'W-Dem'!H361*Sum!H$268*D247*12</f>
        <v>0</v>
      </c>
      <c r="I93" s="13">
        <f>'W-Dem'!I361*Sum!I$268*$D$247*12</f>
        <v>0</v>
      </c>
      <c r="J93" s="13">
        <f>'W-Dem'!J361*Sum!J$268*$D$247*12</f>
        <v>0</v>
      </c>
      <c r="K93" s="13">
        <f>'W-Dem'!K361*Sum!K$268*$D$247*12</f>
        <v>0</v>
      </c>
      <c r="L93" s="13">
        <f>'W-Dem'!L361*Sum!L$268*$D$247*12</f>
        <v>0</v>
      </c>
      <c r="M93" s="13">
        <f>'W-Dem'!M361*Sum!M$268*$D$247*12</f>
        <v>0</v>
      </c>
      <c r="N93" s="13">
        <f>'W-Dem'!N361*Sum!N$268*$D$247*12</f>
        <v>0</v>
      </c>
      <c r="O93" s="13">
        <f>'W-Dem'!O361*Sum!O$268*$D$247*12</f>
        <v>0</v>
      </c>
      <c r="P93" s="13">
        <f>'W-Dem'!P361*Sum!P$268*$D$247*12</f>
        <v>0</v>
      </c>
    </row>
    <row r="94" spans="1:16" s="3" customFormat="1" ht="12.75" customHeight="1" x14ac:dyDescent="0.25">
      <c r="B94" s="117" t="s">
        <v>212</v>
      </c>
      <c r="C94" s="3" t="s">
        <v>205</v>
      </c>
      <c r="E94" s="13">
        <f>'W-Dem'!E362*Sum!E$269*D247*12</f>
        <v>0</v>
      </c>
      <c r="F94" s="13">
        <f>'W-Dem'!F362*Sum!F$269*D247*12</f>
        <v>0</v>
      </c>
      <c r="G94" s="153">
        <f>'W-Dem'!G362*Sum!G$269*D247*12</f>
        <v>0</v>
      </c>
      <c r="H94" s="13">
        <f>'W-Dem'!H362*Sum!H$269*D247*12</f>
        <v>0</v>
      </c>
      <c r="I94" s="13">
        <f>'W-Dem'!I362*Sum!I$269*$D$247*12</f>
        <v>0</v>
      </c>
      <c r="J94" s="13">
        <f>'W-Dem'!J362*Sum!J$269*$D$247*12</f>
        <v>0</v>
      </c>
      <c r="K94" s="13">
        <f>'W-Dem'!K362*Sum!K$269*$D$247*12</f>
        <v>0</v>
      </c>
      <c r="L94" s="13">
        <f>'W-Dem'!L362*Sum!L$269*$D$247*12</f>
        <v>0</v>
      </c>
      <c r="M94" s="13">
        <f>'W-Dem'!M362*Sum!M$269*$D$247*12</f>
        <v>0</v>
      </c>
      <c r="N94" s="13">
        <f>'W-Dem'!N362*Sum!N$269*$D$247*12</f>
        <v>0</v>
      </c>
      <c r="O94" s="13">
        <f>'W-Dem'!O362*Sum!O$269*$D$247*12</f>
        <v>0</v>
      </c>
      <c r="P94" s="13">
        <f>'W-Dem'!P362*Sum!P$269*$D$247*12</f>
        <v>0</v>
      </c>
    </row>
    <row r="95" spans="1:16" s="3" customFormat="1" ht="12.75" customHeight="1" x14ac:dyDescent="0.25">
      <c r="B95" s="213" t="s">
        <v>213</v>
      </c>
      <c r="C95" s="22" t="s">
        <v>205</v>
      </c>
      <c r="D95" s="22"/>
      <c r="E95" s="30">
        <f>'W-Dem'!E363*Sum!E$270*D247*12</f>
        <v>0</v>
      </c>
      <c r="F95" s="30">
        <f>'W-Dem'!F363*Sum!F$270*D247*12</f>
        <v>0</v>
      </c>
      <c r="G95" s="154">
        <f>'W-Dem'!G363*Sum!G$270*D247*12</f>
        <v>0</v>
      </c>
      <c r="H95" s="30">
        <f>'W-Dem'!H363*Sum!H$270*D247*12</f>
        <v>0</v>
      </c>
      <c r="I95" s="30">
        <f>'W-Dem'!I363*Sum!I$270*$D$247*12</f>
        <v>0</v>
      </c>
      <c r="J95" s="30">
        <f>'W-Dem'!J363*Sum!J$270*$D$247*12</f>
        <v>0</v>
      </c>
      <c r="K95" s="30">
        <f>'W-Dem'!K363*Sum!K$270*$D$247*12</f>
        <v>0</v>
      </c>
      <c r="L95" s="30">
        <f>'W-Dem'!L363*Sum!L$270*$D$247*12</f>
        <v>0</v>
      </c>
      <c r="M95" s="30">
        <f>'W-Dem'!M363*Sum!M$270*$D$247*12</f>
        <v>0</v>
      </c>
      <c r="N95" s="30">
        <f>'W-Dem'!N363*Sum!N$270*$D$247*12</f>
        <v>0</v>
      </c>
      <c r="O95" s="30">
        <f>'W-Dem'!O363*Sum!O$270*$D$247*12</f>
        <v>0</v>
      </c>
      <c r="P95" s="30">
        <f>'W-Dem'!P363*Sum!P$270*$D$247*12</f>
        <v>0</v>
      </c>
    </row>
    <row r="96" spans="1:16" s="3" customFormat="1" ht="12.75" customHeight="1" x14ac:dyDescent="0.25">
      <c r="A96" s="16"/>
      <c r="B96" s="3" t="s">
        <v>341</v>
      </c>
      <c r="C96" s="37"/>
      <c r="D96" s="37"/>
      <c r="E96" s="20">
        <f t="shared" ref="E96:I96" si="31">SUM(E88:E95)</f>
        <v>0</v>
      </c>
      <c r="F96" s="20">
        <f t="shared" si="31"/>
        <v>0</v>
      </c>
      <c r="G96" s="153">
        <f t="shared" si="31"/>
        <v>0</v>
      </c>
      <c r="H96" s="13">
        <f t="shared" si="31"/>
        <v>0</v>
      </c>
      <c r="I96" s="13">
        <f t="shared" si="31"/>
        <v>0</v>
      </c>
      <c r="J96" s="13">
        <f t="shared" ref="J96:P96" si="32">SUM(J88:J95)</f>
        <v>0</v>
      </c>
      <c r="K96" s="13">
        <f t="shared" si="32"/>
        <v>0</v>
      </c>
      <c r="L96" s="13">
        <f t="shared" si="32"/>
        <v>0</v>
      </c>
      <c r="M96" s="13">
        <f t="shared" si="32"/>
        <v>0</v>
      </c>
      <c r="N96" s="13">
        <f t="shared" si="32"/>
        <v>0</v>
      </c>
      <c r="O96" s="13">
        <f t="shared" si="32"/>
        <v>0</v>
      </c>
      <c r="P96" s="13">
        <f t="shared" si="32"/>
        <v>0</v>
      </c>
    </row>
    <row r="97" spans="1:16" s="3" customFormat="1" ht="12.75" customHeight="1" thickBot="1" x14ac:dyDescent="0.3">
      <c r="A97" s="16"/>
      <c r="B97" s="32"/>
      <c r="C97" s="94"/>
      <c r="D97" s="94"/>
      <c r="E97" s="33"/>
      <c r="F97" s="33"/>
      <c r="G97" s="174"/>
      <c r="H97" s="33"/>
      <c r="I97" s="33"/>
      <c r="J97" s="33"/>
      <c r="K97" s="33"/>
      <c r="L97" s="33"/>
      <c r="M97" s="33"/>
      <c r="N97" s="33"/>
      <c r="O97" s="33"/>
      <c r="P97" s="33"/>
    </row>
    <row r="98" spans="1:16" s="3" customFormat="1" ht="12.75" customHeight="1" thickTop="1" x14ac:dyDescent="0.25">
      <c r="A98" s="16"/>
      <c r="B98" s="29" t="s">
        <v>182</v>
      </c>
      <c r="C98" s="90"/>
      <c r="D98" s="90"/>
      <c r="E98" s="149">
        <f t="shared" ref="E98:I98" si="33">SUM(E63,E74,E85,E96)</f>
        <v>371505.15</v>
      </c>
      <c r="F98" s="149">
        <f t="shared" si="33"/>
        <v>371505.15</v>
      </c>
      <c r="G98" s="176">
        <f t="shared" si="33"/>
        <v>650134.01249999995</v>
      </c>
      <c r="H98" s="149">
        <f t="shared" si="33"/>
        <v>715147.41375000007</v>
      </c>
      <c r="I98" s="149">
        <f t="shared" si="33"/>
        <v>736601.8361625002</v>
      </c>
      <c r="J98" s="149">
        <f t="shared" ref="J98:P98" si="34">SUM(J63,J74,J85,J96)</f>
        <v>758699.89124737529</v>
      </c>
      <c r="K98" s="149">
        <f t="shared" si="34"/>
        <v>781460.88798479643</v>
      </c>
      <c r="L98" s="149">
        <f t="shared" si="34"/>
        <v>804904.71462434041</v>
      </c>
      <c r="M98" s="149">
        <f t="shared" si="34"/>
        <v>829051.85606307071</v>
      </c>
      <c r="N98" s="149">
        <f t="shared" si="34"/>
        <v>853923.4117449628</v>
      </c>
      <c r="O98" s="149">
        <f t="shared" si="34"/>
        <v>879541.11409731163</v>
      </c>
      <c r="P98" s="149">
        <f t="shared" si="34"/>
        <v>905927.34752023104</v>
      </c>
    </row>
    <row r="99" spans="1:16" s="3" customFormat="1" ht="12.75" customHeight="1" x14ac:dyDescent="0.25">
      <c r="A99" s="16"/>
      <c r="C99" s="37"/>
      <c r="D99" s="37"/>
      <c r="E99" s="13"/>
      <c r="F99" s="13"/>
      <c r="G99" s="153"/>
      <c r="H99" s="13"/>
      <c r="I99" s="13"/>
      <c r="J99" s="13"/>
      <c r="K99" s="13"/>
      <c r="L99" s="13"/>
      <c r="M99" s="13"/>
      <c r="N99" s="13"/>
      <c r="O99" s="13"/>
      <c r="P99" s="13"/>
    </row>
    <row r="100" spans="1:16" s="3" customFormat="1" ht="12.75" customHeight="1" x14ac:dyDescent="0.25">
      <c r="A100" s="29" t="s">
        <v>259</v>
      </c>
      <c r="B100" s="37"/>
      <c r="C100" s="37"/>
      <c r="D100" s="37"/>
      <c r="E100" s="13"/>
      <c r="F100" s="13"/>
      <c r="G100" s="153"/>
      <c r="H100" s="13"/>
      <c r="I100" s="13"/>
      <c r="J100" s="13"/>
      <c r="K100" s="13"/>
      <c r="L100" s="13"/>
      <c r="M100" s="13"/>
      <c r="N100" s="13"/>
      <c r="O100" s="13"/>
      <c r="P100" s="13"/>
    </row>
    <row r="101" spans="1:16" s="3" customFormat="1" ht="12.75" customHeight="1" x14ac:dyDescent="0.25">
      <c r="A101" s="29"/>
      <c r="B101" s="148" t="s">
        <v>223</v>
      </c>
      <c r="C101" s="37"/>
      <c r="D101" s="37"/>
      <c r="G101" s="151"/>
    </row>
    <row r="102" spans="1:16" s="3" customFormat="1" ht="12.75" customHeight="1" x14ac:dyDescent="0.25">
      <c r="B102" s="117" t="s">
        <v>214</v>
      </c>
      <c r="C102" s="3" t="s">
        <v>205</v>
      </c>
      <c r="E102" s="13">
        <f>'W-Dem'!E371*Sum!E$273*D247*12</f>
        <v>0</v>
      </c>
      <c r="F102" s="13">
        <f>'W-Dem'!F371*Sum!F$273*D247*12</f>
        <v>0</v>
      </c>
      <c r="G102" s="153">
        <f>'W-Dem'!G371*Sum!G$273*D247*12</f>
        <v>0</v>
      </c>
      <c r="H102" s="13">
        <f>'W-Dem'!H371*Sum!H$273*D247*12</f>
        <v>0</v>
      </c>
      <c r="I102" s="13">
        <f>'W-Dem'!I371*Sum!I$273*$D$247*12</f>
        <v>0</v>
      </c>
      <c r="J102" s="13">
        <f>'W-Dem'!J371*Sum!J$273*$D$247*12</f>
        <v>0</v>
      </c>
      <c r="K102" s="13">
        <f>'W-Dem'!K371*Sum!K$273*$D$247*12</f>
        <v>0</v>
      </c>
      <c r="L102" s="13">
        <f>'W-Dem'!L371*Sum!L$273*$D$247*12</f>
        <v>0</v>
      </c>
      <c r="M102" s="13">
        <f>'W-Dem'!M371*Sum!M$273*$D$247*12</f>
        <v>0</v>
      </c>
      <c r="N102" s="13">
        <f>'W-Dem'!N371*Sum!N$273*$D$247*12</f>
        <v>0</v>
      </c>
      <c r="O102" s="13">
        <f>'W-Dem'!O371*Sum!O$273*$D$247*12</f>
        <v>0</v>
      </c>
      <c r="P102" s="13">
        <f>'W-Dem'!P371*Sum!P$273*$D$247*12</f>
        <v>0</v>
      </c>
    </row>
    <row r="103" spans="1:16" s="3" customFormat="1" ht="12.75" customHeight="1" x14ac:dyDescent="0.25">
      <c r="B103" s="117" t="s">
        <v>207</v>
      </c>
      <c r="C103" s="3" t="s">
        <v>205</v>
      </c>
      <c r="E103" s="13">
        <f>'W-Dem'!E372*Sum!E$274*D247*12</f>
        <v>0</v>
      </c>
      <c r="F103" s="13">
        <f>'W-Dem'!F372*Sum!F$274*D247*12</f>
        <v>0</v>
      </c>
      <c r="G103" s="153">
        <f>'W-Dem'!G372*Sum!G$274*D247*12</f>
        <v>0</v>
      </c>
      <c r="H103" s="13">
        <f>'W-Dem'!H372*Sum!H$274*D247*12</f>
        <v>0</v>
      </c>
      <c r="I103" s="13">
        <f>'W-Dem'!I372*Sum!I$274*$D$247*12</f>
        <v>0</v>
      </c>
      <c r="J103" s="13">
        <f>'W-Dem'!J372*Sum!J$274*$D$247*12</f>
        <v>0</v>
      </c>
      <c r="K103" s="13">
        <f>'W-Dem'!K372*Sum!K$274*$D$247*12</f>
        <v>0</v>
      </c>
      <c r="L103" s="13">
        <f>'W-Dem'!L372*Sum!L$274*$D$247*12</f>
        <v>0</v>
      </c>
      <c r="M103" s="13">
        <f>'W-Dem'!M372*Sum!M$274*$D$247*12</f>
        <v>0</v>
      </c>
      <c r="N103" s="13">
        <f>'W-Dem'!N372*Sum!N$274*$D$247*12</f>
        <v>0</v>
      </c>
      <c r="O103" s="13">
        <f>'W-Dem'!O372*Sum!O$274*$D$247*12</f>
        <v>0</v>
      </c>
      <c r="P103" s="13">
        <f>'W-Dem'!P372*Sum!P$274*$D$247*12</f>
        <v>0</v>
      </c>
    </row>
    <row r="104" spans="1:16" s="3" customFormat="1" ht="12.75" customHeight="1" x14ac:dyDescent="0.25">
      <c r="B104" s="117" t="s">
        <v>208</v>
      </c>
      <c r="C104" s="3" t="s">
        <v>205</v>
      </c>
      <c r="E104" s="13">
        <f>'W-Dem'!E373*Sum!E$275*D247*12</f>
        <v>0</v>
      </c>
      <c r="F104" s="13">
        <f>'W-Dem'!F373*Sum!F$275*D247*12</f>
        <v>0</v>
      </c>
      <c r="G104" s="153">
        <f>'W-Dem'!G373*Sum!G$275*D247*12</f>
        <v>0</v>
      </c>
      <c r="H104" s="13">
        <f>'W-Dem'!H373*Sum!H$275*D247*12</f>
        <v>0</v>
      </c>
      <c r="I104" s="13">
        <f>'W-Dem'!I373*Sum!I$275*$D$247*12</f>
        <v>0</v>
      </c>
      <c r="J104" s="13">
        <f>'W-Dem'!J373*Sum!J$275*$D$247*12</f>
        <v>0</v>
      </c>
      <c r="K104" s="13">
        <f>'W-Dem'!K373*Sum!K$275*$D$247*12</f>
        <v>0</v>
      </c>
      <c r="L104" s="13">
        <f>'W-Dem'!L373*Sum!L$275*$D$247*12</f>
        <v>0</v>
      </c>
      <c r="M104" s="13">
        <f>'W-Dem'!M373*Sum!M$275*$D$247*12</f>
        <v>0</v>
      </c>
      <c r="N104" s="13">
        <f>'W-Dem'!N373*Sum!N$275*$D$247*12</f>
        <v>0</v>
      </c>
      <c r="O104" s="13">
        <f>'W-Dem'!O373*Sum!O$275*$D$247*12</f>
        <v>0</v>
      </c>
      <c r="P104" s="13">
        <f>'W-Dem'!P373*Sum!P$275*$D$247*12</f>
        <v>0</v>
      </c>
    </row>
    <row r="105" spans="1:16" s="3" customFormat="1" ht="12.75" customHeight="1" x14ac:dyDescent="0.25">
      <c r="B105" s="117" t="s">
        <v>209</v>
      </c>
      <c r="C105" s="3" t="s">
        <v>205</v>
      </c>
      <c r="E105" s="13">
        <f>'W-Dem'!E374*Sum!E$276*D247*12</f>
        <v>0</v>
      </c>
      <c r="F105" s="13">
        <f>'W-Dem'!F374*Sum!F$276*D247*12</f>
        <v>0</v>
      </c>
      <c r="G105" s="153">
        <f>'W-Dem'!G374*Sum!G$276*D247*12</f>
        <v>0</v>
      </c>
      <c r="H105" s="13">
        <f>'W-Dem'!H374*Sum!H$276*D247*12</f>
        <v>0</v>
      </c>
      <c r="I105" s="13">
        <f>'W-Dem'!I374*Sum!I$276*$D$247*12</f>
        <v>0</v>
      </c>
      <c r="J105" s="13">
        <f>'W-Dem'!J374*Sum!J$276*$D$247*12</f>
        <v>0</v>
      </c>
      <c r="K105" s="13">
        <f>'W-Dem'!K374*Sum!K$276*$D$247*12</f>
        <v>0</v>
      </c>
      <c r="L105" s="13">
        <f>'W-Dem'!L374*Sum!L$276*$D$247*12</f>
        <v>0</v>
      </c>
      <c r="M105" s="13">
        <f>'W-Dem'!M374*Sum!M$276*$D$247*12</f>
        <v>0</v>
      </c>
      <c r="N105" s="13">
        <f>'W-Dem'!N374*Sum!N$276*$D$247*12</f>
        <v>0</v>
      </c>
      <c r="O105" s="13">
        <f>'W-Dem'!O374*Sum!O$276*$D$247*12</f>
        <v>0</v>
      </c>
      <c r="P105" s="13">
        <f>'W-Dem'!P374*Sum!P$276*$D$247*12</f>
        <v>0</v>
      </c>
    </row>
    <row r="106" spans="1:16" s="3" customFormat="1" ht="12.75" customHeight="1" x14ac:dyDescent="0.25">
      <c r="B106" s="117" t="s">
        <v>210</v>
      </c>
      <c r="C106" s="3" t="s">
        <v>205</v>
      </c>
      <c r="E106" s="13">
        <f>'W-Dem'!E375*Sum!E$277*D247*12</f>
        <v>0</v>
      </c>
      <c r="F106" s="13">
        <f>'W-Dem'!F375*Sum!F$277*D247*12</f>
        <v>0</v>
      </c>
      <c r="G106" s="153">
        <f>'W-Dem'!G375*Sum!G$277*D247*12</f>
        <v>0</v>
      </c>
      <c r="H106" s="13">
        <f>'W-Dem'!H375*Sum!H$277*D247*12</f>
        <v>0</v>
      </c>
      <c r="I106" s="13">
        <f>'W-Dem'!I375*Sum!I$277*$D$247*12</f>
        <v>0</v>
      </c>
      <c r="J106" s="13">
        <f>'W-Dem'!J375*Sum!J$277*$D$247*12</f>
        <v>0</v>
      </c>
      <c r="K106" s="13">
        <f>'W-Dem'!K375*Sum!K$277*$D$247*12</f>
        <v>0</v>
      </c>
      <c r="L106" s="13">
        <f>'W-Dem'!L375*Sum!L$277*$D$247*12</f>
        <v>0</v>
      </c>
      <c r="M106" s="13">
        <f>'W-Dem'!M375*Sum!M$277*$D$247*12</f>
        <v>0</v>
      </c>
      <c r="N106" s="13">
        <f>'W-Dem'!N375*Sum!N$277*$D$247*12</f>
        <v>0</v>
      </c>
      <c r="O106" s="13">
        <f>'W-Dem'!O375*Sum!O$277*$D$247*12</f>
        <v>0</v>
      </c>
      <c r="P106" s="13">
        <f>'W-Dem'!P375*Sum!P$277*$D$247*12</f>
        <v>0</v>
      </c>
    </row>
    <row r="107" spans="1:16" s="3" customFormat="1" ht="12.75" customHeight="1" x14ac:dyDescent="0.25">
      <c r="B107" s="117" t="s">
        <v>211</v>
      </c>
      <c r="C107" s="3" t="s">
        <v>205</v>
      </c>
      <c r="E107" s="13">
        <f>'W-Dem'!E376*Sum!E$278*D247*12</f>
        <v>0</v>
      </c>
      <c r="F107" s="13">
        <f>'W-Dem'!F376*Sum!F$278*D247*12</f>
        <v>0</v>
      </c>
      <c r="G107" s="153">
        <f>'W-Dem'!G376*Sum!G$278*D247*12</f>
        <v>0</v>
      </c>
      <c r="H107" s="13">
        <f>'W-Dem'!H376*Sum!H$278*D247*12</f>
        <v>0</v>
      </c>
      <c r="I107" s="13">
        <f>'W-Dem'!I376*Sum!I$278*$D$247*12</f>
        <v>0</v>
      </c>
      <c r="J107" s="13">
        <f>'W-Dem'!J376*Sum!J$278*$D$247*12</f>
        <v>0</v>
      </c>
      <c r="K107" s="13">
        <f>'W-Dem'!K376*Sum!K$278*$D$247*12</f>
        <v>0</v>
      </c>
      <c r="L107" s="13">
        <f>'W-Dem'!L376*Sum!L$278*$D$247*12</f>
        <v>0</v>
      </c>
      <c r="M107" s="13">
        <f>'W-Dem'!M376*Sum!M$278*$D$247*12</f>
        <v>0</v>
      </c>
      <c r="N107" s="13">
        <f>'W-Dem'!N376*Sum!N$278*$D$247*12</f>
        <v>0</v>
      </c>
      <c r="O107" s="13">
        <f>'W-Dem'!O376*Sum!O$278*$D$247*12</f>
        <v>0</v>
      </c>
      <c r="P107" s="13">
        <f>'W-Dem'!P376*Sum!P$278*$D$247*12</f>
        <v>0</v>
      </c>
    </row>
    <row r="108" spans="1:16" s="3" customFormat="1" ht="12.75" customHeight="1" x14ac:dyDescent="0.25">
      <c r="B108" s="117" t="s">
        <v>212</v>
      </c>
      <c r="C108" s="3" t="s">
        <v>205</v>
      </c>
      <c r="E108" s="13">
        <f>'W-Dem'!E377*Sum!E$279*D247*12</f>
        <v>0</v>
      </c>
      <c r="F108" s="13">
        <f>'W-Dem'!F377*Sum!F$279*D247*12</f>
        <v>0</v>
      </c>
      <c r="G108" s="153">
        <f>'W-Dem'!G377*Sum!G$279*D247*12</f>
        <v>0</v>
      </c>
      <c r="H108" s="13">
        <f>'W-Dem'!H377*Sum!H$279*D247*12</f>
        <v>0</v>
      </c>
      <c r="I108" s="13">
        <f>'W-Dem'!I377*Sum!I$279*$D$247*12</f>
        <v>0</v>
      </c>
      <c r="J108" s="13">
        <f>'W-Dem'!J377*Sum!J$279*$D$247*12</f>
        <v>0</v>
      </c>
      <c r="K108" s="13">
        <f>'W-Dem'!K377*Sum!K$279*$D$247*12</f>
        <v>0</v>
      </c>
      <c r="L108" s="13">
        <f>'W-Dem'!L377*Sum!L$279*$D$247*12</f>
        <v>0</v>
      </c>
      <c r="M108" s="13">
        <f>'W-Dem'!M377*Sum!M$279*$D$247*12</f>
        <v>0</v>
      </c>
      <c r="N108" s="13">
        <f>'W-Dem'!N377*Sum!N$279*$D$247*12</f>
        <v>0</v>
      </c>
      <c r="O108" s="13">
        <f>'W-Dem'!O377*Sum!O$279*$D$247*12</f>
        <v>0</v>
      </c>
      <c r="P108" s="13">
        <f>'W-Dem'!P377*Sum!P$279*$D$247*12</f>
        <v>0</v>
      </c>
    </row>
    <row r="109" spans="1:16" s="3" customFormat="1" ht="12.75" customHeight="1" x14ac:dyDescent="0.25">
      <c r="A109" s="22"/>
      <c r="B109" s="137" t="s">
        <v>213</v>
      </c>
      <c r="C109" s="93" t="s">
        <v>205</v>
      </c>
      <c r="D109" s="93"/>
      <c r="E109" s="30">
        <f>'W-Dem'!E378*Sum!E$280*D247*12</f>
        <v>0</v>
      </c>
      <c r="F109" s="30">
        <f>'W-Dem'!F378*Sum!F$280*D247*12</f>
        <v>0</v>
      </c>
      <c r="G109" s="154">
        <f>'W-Dem'!G378*Sum!G$280*D247*12</f>
        <v>0</v>
      </c>
      <c r="H109" s="30">
        <f>'W-Dem'!H378*Sum!H$280*D247*12</f>
        <v>0</v>
      </c>
      <c r="I109" s="30">
        <f>'W-Dem'!I378*Sum!I$280*$D$247*12</f>
        <v>0</v>
      </c>
      <c r="J109" s="30">
        <f>'W-Dem'!J378*Sum!J$280*$D$247*12</f>
        <v>0</v>
      </c>
      <c r="K109" s="30">
        <f>'W-Dem'!K378*Sum!K$280*$D$247*12</f>
        <v>0</v>
      </c>
      <c r="L109" s="30">
        <f>'W-Dem'!L378*Sum!L$280*$D$247*12</f>
        <v>0</v>
      </c>
      <c r="M109" s="30">
        <f>'W-Dem'!M378*Sum!M$280*$D$247*12</f>
        <v>0</v>
      </c>
      <c r="N109" s="30">
        <f>'W-Dem'!N378*Sum!N$280*$D$247*12</f>
        <v>0</v>
      </c>
      <c r="O109" s="30">
        <f>'W-Dem'!O378*Sum!O$280*$D$247*12</f>
        <v>0</v>
      </c>
      <c r="P109" s="30">
        <f>'W-Dem'!P378*Sum!P$280*$D$247*12</f>
        <v>0</v>
      </c>
    </row>
    <row r="110" spans="1:16" s="3" customFormat="1" ht="12.75" customHeight="1" x14ac:dyDescent="0.25">
      <c r="A110" s="16"/>
      <c r="B110" s="3" t="s">
        <v>203</v>
      </c>
      <c r="C110" s="37"/>
      <c r="D110" s="37"/>
      <c r="E110" s="20">
        <f t="shared" ref="E110:I110" si="35">SUM(E102:E109)</f>
        <v>0</v>
      </c>
      <c r="F110" s="20">
        <f t="shared" si="35"/>
        <v>0</v>
      </c>
      <c r="G110" s="153">
        <f t="shared" si="35"/>
        <v>0</v>
      </c>
      <c r="H110" s="13">
        <f t="shared" si="35"/>
        <v>0</v>
      </c>
      <c r="I110" s="13">
        <f t="shared" si="35"/>
        <v>0</v>
      </c>
      <c r="J110" s="13">
        <f t="shared" ref="J110:P110" si="36">SUM(J102:J109)</f>
        <v>0</v>
      </c>
      <c r="K110" s="13">
        <f t="shared" si="36"/>
        <v>0</v>
      </c>
      <c r="L110" s="13">
        <f t="shared" si="36"/>
        <v>0</v>
      </c>
      <c r="M110" s="13">
        <f t="shared" si="36"/>
        <v>0</v>
      </c>
      <c r="N110" s="13">
        <f t="shared" si="36"/>
        <v>0</v>
      </c>
      <c r="O110" s="13">
        <f t="shared" si="36"/>
        <v>0</v>
      </c>
      <c r="P110" s="13">
        <f t="shared" si="36"/>
        <v>0</v>
      </c>
    </row>
    <row r="111" spans="1:16" s="3" customFormat="1" ht="12.75" customHeight="1" x14ac:dyDescent="0.25">
      <c r="A111" s="16"/>
      <c r="C111" s="37"/>
      <c r="D111" s="37"/>
      <c r="E111" s="13"/>
      <c r="F111" s="13"/>
      <c r="G111" s="153"/>
      <c r="H111" s="13"/>
      <c r="I111" s="13"/>
      <c r="J111" s="13"/>
      <c r="K111" s="13"/>
      <c r="L111" s="13"/>
      <c r="M111" s="13"/>
      <c r="N111" s="13"/>
      <c r="O111" s="13"/>
      <c r="P111" s="13"/>
    </row>
    <row r="112" spans="1:16" s="3" customFormat="1" ht="12.75" customHeight="1" x14ac:dyDescent="0.25">
      <c r="A112" s="29"/>
      <c r="B112" s="148" t="s">
        <v>320</v>
      </c>
      <c r="C112" s="37"/>
      <c r="D112" s="37"/>
      <c r="G112" s="151"/>
    </row>
    <row r="113" spans="1:16" s="3" customFormat="1" ht="12.75" customHeight="1" x14ac:dyDescent="0.25">
      <c r="B113" s="117" t="s">
        <v>214</v>
      </c>
      <c r="C113" s="3" t="s">
        <v>205</v>
      </c>
      <c r="E113" s="13">
        <f>'W-Dem'!E383*Sum!E$273*D247*12</f>
        <v>0</v>
      </c>
      <c r="F113" s="13">
        <f>'W-Dem'!F383*Sum!F$273*D247*12</f>
        <v>0</v>
      </c>
      <c r="G113" s="153">
        <f>'W-Dem'!G383*Sum!G$273*D247*12</f>
        <v>0</v>
      </c>
      <c r="H113" s="13">
        <f>'W-Dem'!H383*Sum!H$273*D247*12</f>
        <v>0</v>
      </c>
      <c r="I113" s="13">
        <f>'W-Dem'!I383*Sum!I$273*$D$247*12</f>
        <v>0</v>
      </c>
      <c r="J113" s="13">
        <f>'W-Dem'!J383*Sum!J$273*$D$247*12</f>
        <v>0</v>
      </c>
      <c r="K113" s="13">
        <f>'W-Dem'!K383*Sum!K$273*$D$247*12</f>
        <v>0</v>
      </c>
      <c r="L113" s="13">
        <f>'W-Dem'!L383*Sum!L$273*$D$247*12</f>
        <v>0</v>
      </c>
      <c r="M113" s="13">
        <f>'W-Dem'!M383*Sum!M$273*$D$247*12</f>
        <v>0</v>
      </c>
      <c r="N113" s="13">
        <f>'W-Dem'!N383*Sum!N$273*$D$247*12</f>
        <v>0</v>
      </c>
      <c r="O113" s="13">
        <f>'W-Dem'!O383*Sum!O$273*$D$247*12</f>
        <v>0</v>
      </c>
      <c r="P113" s="13">
        <f>'W-Dem'!P383*Sum!P$273*$D$247*12</f>
        <v>0</v>
      </c>
    </row>
    <row r="114" spans="1:16" s="3" customFormat="1" ht="12.75" customHeight="1" x14ac:dyDescent="0.25">
      <c r="B114" s="117" t="s">
        <v>207</v>
      </c>
      <c r="C114" s="3" t="s">
        <v>205</v>
      </c>
      <c r="E114" s="13">
        <f>'W-Dem'!E384*Sum!E$274*D247*12</f>
        <v>0</v>
      </c>
      <c r="F114" s="13">
        <f>'W-Dem'!F384*Sum!F$274*D247*12</f>
        <v>0</v>
      </c>
      <c r="G114" s="153">
        <f>'W-Dem'!G384*Sum!G$274*D247*12</f>
        <v>0</v>
      </c>
      <c r="H114" s="13">
        <f>'W-Dem'!H384*Sum!H$274*D247*12</f>
        <v>0</v>
      </c>
      <c r="I114" s="13">
        <f>'W-Dem'!I384*Sum!I$274*$D$247*12</f>
        <v>0</v>
      </c>
      <c r="J114" s="13">
        <f>'W-Dem'!J384*Sum!J$274*$D$247*12</f>
        <v>0</v>
      </c>
      <c r="K114" s="13">
        <f>'W-Dem'!K384*Sum!K$274*$D$247*12</f>
        <v>0</v>
      </c>
      <c r="L114" s="13">
        <f>'W-Dem'!L384*Sum!L$274*$D$247*12</f>
        <v>0</v>
      </c>
      <c r="M114" s="13">
        <f>'W-Dem'!M384*Sum!M$274*$D$247*12</f>
        <v>0</v>
      </c>
      <c r="N114" s="13">
        <f>'W-Dem'!N384*Sum!N$274*$D$247*12</f>
        <v>0</v>
      </c>
      <c r="O114" s="13">
        <f>'W-Dem'!O384*Sum!O$274*$D$247*12</f>
        <v>0</v>
      </c>
      <c r="P114" s="13">
        <f>'W-Dem'!P384*Sum!P$274*$D$247*12</f>
        <v>0</v>
      </c>
    </row>
    <row r="115" spans="1:16" s="3" customFormat="1" ht="12.75" customHeight="1" x14ac:dyDescent="0.25">
      <c r="B115" s="117" t="s">
        <v>208</v>
      </c>
      <c r="C115" s="3" t="s">
        <v>205</v>
      </c>
      <c r="E115" s="13">
        <f>'W-Dem'!E385*Sum!E$275*D247*12</f>
        <v>0</v>
      </c>
      <c r="F115" s="13">
        <f>'W-Dem'!F385*Sum!F$275*D247*12</f>
        <v>0</v>
      </c>
      <c r="G115" s="153">
        <f>'W-Dem'!G385*Sum!G$275*D247*12</f>
        <v>0</v>
      </c>
      <c r="H115" s="13">
        <f>'W-Dem'!H385*Sum!H$275*D247*12</f>
        <v>0</v>
      </c>
      <c r="I115" s="13">
        <f>'W-Dem'!I385*Sum!I$275*$D$247*12</f>
        <v>0</v>
      </c>
      <c r="J115" s="13">
        <f>'W-Dem'!J385*Sum!J$275*$D$247*12</f>
        <v>0</v>
      </c>
      <c r="K115" s="13">
        <f>'W-Dem'!K385*Sum!K$275*$D$247*12</f>
        <v>0</v>
      </c>
      <c r="L115" s="13">
        <f>'W-Dem'!L385*Sum!L$275*$D$247*12</f>
        <v>0</v>
      </c>
      <c r="M115" s="13">
        <f>'W-Dem'!M385*Sum!M$275*$D$247*12</f>
        <v>0</v>
      </c>
      <c r="N115" s="13">
        <f>'W-Dem'!N385*Sum!N$275*$D$247*12</f>
        <v>0</v>
      </c>
      <c r="O115" s="13">
        <f>'W-Dem'!O385*Sum!O$275*$D$247*12</f>
        <v>0</v>
      </c>
      <c r="P115" s="13">
        <f>'W-Dem'!P385*Sum!P$275*$D$247*12</f>
        <v>0</v>
      </c>
    </row>
    <row r="116" spans="1:16" s="3" customFormat="1" ht="12.75" customHeight="1" x14ac:dyDescent="0.25">
      <c r="B116" s="117" t="s">
        <v>209</v>
      </c>
      <c r="C116" s="3" t="s">
        <v>205</v>
      </c>
      <c r="E116" s="13">
        <f>'W-Dem'!E386*Sum!E$276*D247*12</f>
        <v>0</v>
      </c>
      <c r="F116" s="13">
        <f>'W-Dem'!F386*Sum!F$276*D247*12</f>
        <v>0</v>
      </c>
      <c r="G116" s="153">
        <f>'W-Dem'!G386*Sum!G$276*D247*12</f>
        <v>0</v>
      </c>
      <c r="H116" s="13">
        <f>'W-Dem'!H386*Sum!H$276*D247*12</f>
        <v>0</v>
      </c>
      <c r="I116" s="13">
        <f>'W-Dem'!I386*Sum!I$276*$D$247*12</f>
        <v>0</v>
      </c>
      <c r="J116" s="13">
        <f>'W-Dem'!J386*Sum!J$276*$D$247*12</f>
        <v>0</v>
      </c>
      <c r="K116" s="13">
        <f>'W-Dem'!K386*Sum!K$276*$D$247*12</f>
        <v>0</v>
      </c>
      <c r="L116" s="13">
        <f>'W-Dem'!L386*Sum!L$276*$D$247*12</f>
        <v>0</v>
      </c>
      <c r="M116" s="13">
        <f>'W-Dem'!M386*Sum!M$276*$D$247*12</f>
        <v>0</v>
      </c>
      <c r="N116" s="13">
        <f>'W-Dem'!N386*Sum!N$276*$D$247*12</f>
        <v>0</v>
      </c>
      <c r="O116" s="13">
        <f>'W-Dem'!O386*Sum!O$276*$D$247*12</f>
        <v>0</v>
      </c>
      <c r="P116" s="13">
        <f>'W-Dem'!P386*Sum!P$276*$D$247*12</f>
        <v>0</v>
      </c>
    </row>
    <row r="117" spans="1:16" s="3" customFormat="1" ht="12.75" customHeight="1" x14ac:dyDescent="0.25">
      <c r="B117" s="117" t="s">
        <v>210</v>
      </c>
      <c r="C117" s="3" t="s">
        <v>205</v>
      </c>
      <c r="E117" s="13">
        <f>'W-Dem'!E387*Sum!E$277*D247*12</f>
        <v>0</v>
      </c>
      <c r="F117" s="13">
        <f>'W-Dem'!F387*Sum!F$277*D247*12</f>
        <v>0</v>
      </c>
      <c r="G117" s="153">
        <f>'W-Dem'!G387*Sum!G$277*D247*12</f>
        <v>0</v>
      </c>
      <c r="H117" s="13">
        <f>'W-Dem'!H387*Sum!H$277*D247*12</f>
        <v>0</v>
      </c>
      <c r="I117" s="13">
        <f>'W-Dem'!I387*Sum!I$277*$D$247*12</f>
        <v>0</v>
      </c>
      <c r="J117" s="13">
        <f>'W-Dem'!J387*Sum!J$277*$D$247*12</f>
        <v>0</v>
      </c>
      <c r="K117" s="13">
        <f>'W-Dem'!K387*Sum!K$277*$D$247*12</f>
        <v>0</v>
      </c>
      <c r="L117" s="13">
        <f>'W-Dem'!L387*Sum!L$277*$D$247*12</f>
        <v>0</v>
      </c>
      <c r="M117" s="13">
        <f>'W-Dem'!M387*Sum!M$277*$D$247*12</f>
        <v>0</v>
      </c>
      <c r="N117" s="13">
        <f>'W-Dem'!N387*Sum!N$277*$D$247*12</f>
        <v>0</v>
      </c>
      <c r="O117" s="13">
        <f>'W-Dem'!O387*Sum!O$277*$D$247*12</f>
        <v>0</v>
      </c>
      <c r="P117" s="13">
        <f>'W-Dem'!P387*Sum!P$277*$D$247*12</f>
        <v>0</v>
      </c>
    </row>
    <row r="118" spans="1:16" s="3" customFormat="1" ht="12.75" customHeight="1" x14ac:dyDescent="0.25">
      <c r="B118" s="117" t="s">
        <v>211</v>
      </c>
      <c r="C118" s="3" t="s">
        <v>205</v>
      </c>
      <c r="E118" s="13">
        <f>'W-Dem'!E388*Sum!E$278*D247*12</f>
        <v>0</v>
      </c>
      <c r="F118" s="13">
        <f>'W-Dem'!F388*Sum!F$278*D247*12</f>
        <v>0</v>
      </c>
      <c r="G118" s="153">
        <f>'W-Dem'!G388*Sum!G$278*D247*12</f>
        <v>0</v>
      </c>
      <c r="H118" s="13">
        <f>'W-Dem'!H388*Sum!H$278*D247*12</f>
        <v>0</v>
      </c>
      <c r="I118" s="13">
        <f>'W-Dem'!I388*Sum!I$278*$D$247*12</f>
        <v>0</v>
      </c>
      <c r="J118" s="13">
        <f>'W-Dem'!J388*Sum!J$278*$D$247*12</f>
        <v>0</v>
      </c>
      <c r="K118" s="13">
        <f>'W-Dem'!K388*Sum!K$278*$D$247*12</f>
        <v>0</v>
      </c>
      <c r="L118" s="13">
        <f>'W-Dem'!L388*Sum!L$278*$D$247*12</f>
        <v>0</v>
      </c>
      <c r="M118" s="13">
        <f>'W-Dem'!M388*Sum!M$278*$D$247*12</f>
        <v>0</v>
      </c>
      <c r="N118" s="13">
        <f>'W-Dem'!N388*Sum!N$278*$D$247*12</f>
        <v>0</v>
      </c>
      <c r="O118" s="13">
        <f>'W-Dem'!O388*Sum!O$278*$D$247*12</f>
        <v>0</v>
      </c>
      <c r="P118" s="13">
        <f>'W-Dem'!P388*Sum!P$278*$D$247*12</f>
        <v>0</v>
      </c>
    </row>
    <row r="119" spans="1:16" s="3" customFormat="1" ht="12.75" customHeight="1" x14ac:dyDescent="0.25">
      <c r="B119" s="117" t="s">
        <v>212</v>
      </c>
      <c r="C119" s="3" t="s">
        <v>205</v>
      </c>
      <c r="E119" s="13">
        <f>'W-Dem'!E389*Sum!E$279*D247*12</f>
        <v>0</v>
      </c>
      <c r="F119" s="13">
        <f>'W-Dem'!F389*Sum!F$279*D247*12</f>
        <v>0</v>
      </c>
      <c r="G119" s="153">
        <f>'W-Dem'!G389*Sum!G$279*D247*12</f>
        <v>0</v>
      </c>
      <c r="H119" s="13">
        <f>'W-Dem'!H389*Sum!H$279*D247*12</f>
        <v>0</v>
      </c>
      <c r="I119" s="13">
        <f>'W-Dem'!I389*Sum!I$279*$D$247*12</f>
        <v>0</v>
      </c>
      <c r="J119" s="13">
        <f>'W-Dem'!J389*Sum!J$279*$D$247*12</f>
        <v>0</v>
      </c>
      <c r="K119" s="13">
        <f>'W-Dem'!K389*Sum!K$279*$D$247*12</f>
        <v>0</v>
      </c>
      <c r="L119" s="13">
        <f>'W-Dem'!L389*Sum!L$279*$D$247*12</f>
        <v>0</v>
      </c>
      <c r="M119" s="13">
        <f>'W-Dem'!M389*Sum!M$279*$D$247*12</f>
        <v>0</v>
      </c>
      <c r="N119" s="13">
        <f>'W-Dem'!N389*Sum!N$279*$D$247*12</f>
        <v>0</v>
      </c>
      <c r="O119" s="13">
        <f>'W-Dem'!O389*Sum!O$279*$D$247*12</f>
        <v>0</v>
      </c>
      <c r="P119" s="13">
        <f>'W-Dem'!P389*Sum!P$279*$D$247*12</f>
        <v>0</v>
      </c>
    </row>
    <row r="120" spans="1:16" s="3" customFormat="1" ht="12.75" customHeight="1" x14ac:dyDescent="0.25">
      <c r="A120" s="22"/>
      <c r="B120" s="213" t="s">
        <v>213</v>
      </c>
      <c r="C120" s="22" t="s">
        <v>205</v>
      </c>
      <c r="D120" s="22"/>
      <c r="E120" s="30">
        <f>'W-Dem'!E390*Sum!E$280*D247*12</f>
        <v>0</v>
      </c>
      <c r="F120" s="30">
        <f>'W-Dem'!F390*Sum!F$280*D247*12</f>
        <v>0</v>
      </c>
      <c r="G120" s="154">
        <f>'W-Dem'!G390*Sum!G$280*D247*12</f>
        <v>0</v>
      </c>
      <c r="H120" s="30">
        <f>'W-Dem'!H390*Sum!H$280*D247*12</f>
        <v>0</v>
      </c>
      <c r="I120" s="30">
        <f>'W-Dem'!I390*Sum!I$280*$D$247*12</f>
        <v>0</v>
      </c>
      <c r="J120" s="30">
        <f>'W-Dem'!J390*Sum!J$280*$D$247*12</f>
        <v>0</v>
      </c>
      <c r="K120" s="30">
        <f>'W-Dem'!K390*Sum!K$280*$D$247*12</f>
        <v>0</v>
      </c>
      <c r="L120" s="30">
        <f>'W-Dem'!L390*Sum!L$280*$D$247*12</f>
        <v>0</v>
      </c>
      <c r="M120" s="30">
        <f>'W-Dem'!M390*Sum!M$280*$D$247*12</f>
        <v>0</v>
      </c>
      <c r="N120" s="30">
        <f>'W-Dem'!N390*Sum!N$280*$D$247*12</f>
        <v>0</v>
      </c>
      <c r="O120" s="30">
        <f>'W-Dem'!O390*Sum!O$280*$D$247*12</f>
        <v>0</v>
      </c>
      <c r="P120" s="30">
        <f>'W-Dem'!P390*Sum!P$280*$D$247*12</f>
        <v>0</v>
      </c>
    </row>
    <row r="121" spans="1:16" s="3" customFormat="1" ht="12.75" customHeight="1" x14ac:dyDescent="0.25">
      <c r="A121" s="16"/>
      <c r="B121" s="3" t="s">
        <v>344</v>
      </c>
      <c r="C121" s="37"/>
      <c r="D121" s="37"/>
      <c r="E121" s="20">
        <f t="shared" ref="E121:I121" si="37">SUM(E113:E120)</f>
        <v>0</v>
      </c>
      <c r="F121" s="20">
        <f t="shared" si="37"/>
        <v>0</v>
      </c>
      <c r="G121" s="153">
        <f t="shared" si="37"/>
        <v>0</v>
      </c>
      <c r="H121" s="13">
        <f t="shared" si="37"/>
        <v>0</v>
      </c>
      <c r="I121" s="13">
        <f t="shared" si="37"/>
        <v>0</v>
      </c>
      <c r="J121" s="13">
        <f t="shared" ref="J121:P121" si="38">SUM(J113:J120)</f>
        <v>0</v>
      </c>
      <c r="K121" s="13">
        <f t="shared" si="38"/>
        <v>0</v>
      </c>
      <c r="L121" s="13">
        <f t="shared" si="38"/>
        <v>0</v>
      </c>
      <c r="M121" s="13">
        <f t="shared" si="38"/>
        <v>0</v>
      </c>
      <c r="N121" s="13">
        <f t="shared" si="38"/>
        <v>0</v>
      </c>
      <c r="O121" s="13">
        <f t="shared" si="38"/>
        <v>0</v>
      </c>
      <c r="P121" s="13">
        <f t="shared" si="38"/>
        <v>0</v>
      </c>
    </row>
    <row r="122" spans="1:16" s="3" customFormat="1" ht="12.75" customHeight="1" x14ac:dyDescent="0.25">
      <c r="A122" s="16"/>
      <c r="C122" s="37"/>
      <c r="D122" s="37"/>
      <c r="E122" s="13"/>
      <c r="F122" s="13"/>
      <c r="G122" s="153"/>
      <c r="H122" s="13"/>
      <c r="I122" s="13"/>
      <c r="J122" s="13"/>
      <c r="K122" s="13"/>
      <c r="L122" s="13"/>
      <c r="M122" s="13"/>
      <c r="N122" s="13"/>
      <c r="O122" s="13"/>
      <c r="P122" s="13"/>
    </row>
    <row r="123" spans="1:16" s="3" customFormat="1" ht="12.75" customHeight="1" x14ac:dyDescent="0.25">
      <c r="A123" s="29"/>
      <c r="B123" s="148" t="s">
        <v>299</v>
      </c>
      <c r="C123" s="37"/>
      <c r="D123" s="37"/>
      <c r="G123" s="151"/>
    </row>
    <row r="124" spans="1:16" s="3" customFormat="1" ht="12.75" customHeight="1" x14ac:dyDescent="0.25">
      <c r="B124" s="117" t="s">
        <v>214</v>
      </c>
      <c r="C124" s="3" t="s">
        <v>205</v>
      </c>
      <c r="E124" s="13">
        <f>'W-Dem'!E395*Sum!E$273*D247*12</f>
        <v>0</v>
      </c>
      <c r="F124" s="13">
        <f>'W-Dem'!F395*Sum!F$273*D247*12</f>
        <v>0</v>
      </c>
      <c r="G124" s="153">
        <f>'W-Dem'!G395*Sum!G$273*D247*12</f>
        <v>0</v>
      </c>
      <c r="H124" s="13">
        <f>'W-Dem'!H395*Sum!H$273*D247*12</f>
        <v>0</v>
      </c>
      <c r="I124" s="13">
        <f>'W-Dem'!I395*Sum!I$273*$D$247*12</f>
        <v>0</v>
      </c>
      <c r="J124" s="13">
        <f>'W-Dem'!J395*Sum!J$273*$D$247*12</f>
        <v>0</v>
      </c>
      <c r="K124" s="13">
        <f>'W-Dem'!K395*Sum!K$273*$D$247*12</f>
        <v>0</v>
      </c>
      <c r="L124" s="13">
        <f>'W-Dem'!L395*Sum!L$273*$D$247*12</f>
        <v>0</v>
      </c>
      <c r="M124" s="13">
        <f>'W-Dem'!M395*Sum!M$273*$D$247*12</f>
        <v>0</v>
      </c>
      <c r="N124" s="13">
        <f>'W-Dem'!N395*Sum!N$273*$D$247*12</f>
        <v>0</v>
      </c>
      <c r="O124" s="13">
        <f>'W-Dem'!O395*Sum!O$273*$D$247*12</f>
        <v>0</v>
      </c>
      <c r="P124" s="13">
        <f>'W-Dem'!P395*Sum!P$273*$D$247*12</f>
        <v>0</v>
      </c>
    </row>
    <row r="125" spans="1:16" s="3" customFormat="1" ht="12.75" customHeight="1" x14ac:dyDescent="0.25">
      <c r="B125" s="117" t="s">
        <v>207</v>
      </c>
      <c r="C125" s="3" t="s">
        <v>205</v>
      </c>
      <c r="E125" s="13">
        <f>'W-Dem'!E396*Sum!E$274*D247*12</f>
        <v>0</v>
      </c>
      <c r="F125" s="13">
        <f>'W-Dem'!F396*Sum!F$274*D247*12</f>
        <v>0</v>
      </c>
      <c r="G125" s="153">
        <f>'W-Dem'!G396*Sum!G$274*D247*12</f>
        <v>0</v>
      </c>
      <c r="H125" s="13">
        <f>'W-Dem'!H396*Sum!H$274*D247*12</f>
        <v>0</v>
      </c>
      <c r="I125" s="13">
        <f>'W-Dem'!I396*Sum!I$274*$D$247*12</f>
        <v>0</v>
      </c>
      <c r="J125" s="13">
        <f>'W-Dem'!J396*Sum!J$274*$D$247*12</f>
        <v>0</v>
      </c>
      <c r="K125" s="13">
        <f>'W-Dem'!K396*Sum!K$274*$D$247*12</f>
        <v>0</v>
      </c>
      <c r="L125" s="13">
        <f>'W-Dem'!L396*Sum!L$274*$D$247*12</f>
        <v>0</v>
      </c>
      <c r="M125" s="13">
        <f>'W-Dem'!M396*Sum!M$274*$D$247*12</f>
        <v>0</v>
      </c>
      <c r="N125" s="13">
        <f>'W-Dem'!N396*Sum!N$274*$D$247*12</f>
        <v>0</v>
      </c>
      <c r="O125" s="13">
        <f>'W-Dem'!O396*Sum!O$274*$D$247*12</f>
        <v>0</v>
      </c>
      <c r="P125" s="13">
        <f>'W-Dem'!P396*Sum!P$274*$D$247*12</f>
        <v>0</v>
      </c>
    </row>
    <row r="126" spans="1:16" s="3" customFormat="1" ht="12.75" customHeight="1" x14ac:dyDescent="0.25">
      <c r="B126" s="117" t="s">
        <v>208</v>
      </c>
      <c r="C126" s="3" t="s">
        <v>205</v>
      </c>
      <c r="E126" s="13">
        <f>'W-Dem'!E397*Sum!E$275*D247*12</f>
        <v>0</v>
      </c>
      <c r="F126" s="13">
        <f>'W-Dem'!F397*Sum!F$275*D247*12</f>
        <v>0</v>
      </c>
      <c r="G126" s="153">
        <f>'W-Dem'!G397*Sum!G$275*D247*12</f>
        <v>0</v>
      </c>
      <c r="H126" s="13">
        <f>'W-Dem'!H397*Sum!H$275*D247*12</f>
        <v>0</v>
      </c>
      <c r="I126" s="13">
        <f>'W-Dem'!I397*Sum!I$275*$D$247*12</f>
        <v>0</v>
      </c>
      <c r="J126" s="13">
        <f>'W-Dem'!J397*Sum!J$275*$D$247*12</f>
        <v>0</v>
      </c>
      <c r="K126" s="13">
        <f>'W-Dem'!K397*Sum!K$275*$D$247*12</f>
        <v>0</v>
      </c>
      <c r="L126" s="13">
        <f>'W-Dem'!L397*Sum!L$275*$D$247*12</f>
        <v>0</v>
      </c>
      <c r="M126" s="13">
        <f>'W-Dem'!M397*Sum!M$275*$D$247*12</f>
        <v>0</v>
      </c>
      <c r="N126" s="13">
        <f>'W-Dem'!N397*Sum!N$275*$D$247*12</f>
        <v>0</v>
      </c>
      <c r="O126" s="13">
        <f>'W-Dem'!O397*Sum!O$275*$D$247*12</f>
        <v>0</v>
      </c>
      <c r="P126" s="13">
        <f>'W-Dem'!P397*Sum!P$275*$D$247*12</f>
        <v>0</v>
      </c>
    </row>
    <row r="127" spans="1:16" s="3" customFormat="1" ht="12.75" customHeight="1" x14ac:dyDescent="0.25">
      <c r="B127" s="117" t="s">
        <v>209</v>
      </c>
      <c r="C127" s="3" t="s">
        <v>205</v>
      </c>
      <c r="E127" s="13">
        <f>'W-Dem'!E398*Sum!E$276*D247*12</f>
        <v>0</v>
      </c>
      <c r="F127" s="13">
        <f>'W-Dem'!F398*Sum!F$276*D247*12</f>
        <v>0</v>
      </c>
      <c r="G127" s="153">
        <f>'W-Dem'!G398*Sum!G$276*D247*12</f>
        <v>0</v>
      </c>
      <c r="H127" s="13">
        <f>'W-Dem'!H398*Sum!H$276*D247*12</f>
        <v>0</v>
      </c>
      <c r="I127" s="13">
        <f>'W-Dem'!I398*Sum!I$276*$D$247*12</f>
        <v>0</v>
      </c>
      <c r="J127" s="13">
        <f>'W-Dem'!J398*Sum!J$276*$D$247*12</f>
        <v>0</v>
      </c>
      <c r="K127" s="13">
        <f>'W-Dem'!K398*Sum!K$276*$D$247*12</f>
        <v>0</v>
      </c>
      <c r="L127" s="13">
        <f>'W-Dem'!L398*Sum!L$276*$D$247*12</f>
        <v>0</v>
      </c>
      <c r="M127" s="13">
        <f>'W-Dem'!M398*Sum!M$276*$D$247*12</f>
        <v>0</v>
      </c>
      <c r="N127" s="13">
        <f>'W-Dem'!N398*Sum!N$276*$D$247*12</f>
        <v>0</v>
      </c>
      <c r="O127" s="13">
        <f>'W-Dem'!O398*Sum!O$276*$D$247*12</f>
        <v>0</v>
      </c>
      <c r="P127" s="13">
        <f>'W-Dem'!P398*Sum!P$276*$D$247*12</f>
        <v>0</v>
      </c>
    </row>
    <row r="128" spans="1:16" s="3" customFormat="1" ht="12.75" customHeight="1" x14ac:dyDescent="0.25">
      <c r="B128" s="117" t="s">
        <v>210</v>
      </c>
      <c r="C128" s="3" t="s">
        <v>205</v>
      </c>
      <c r="E128" s="13">
        <f>'W-Dem'!E399*Sum!E$277*D247*12</f>
        <v>0</v>
      </c>
      <c r="F128" s="13">
        <f>'W-Dem'!F399*Sum!F$277*D247*12</f>
        <v>0</v>
      </c>
      <c r="G128" s="153">
        <f>'W-Dem'!G399*Sum!G$277*D247*12</f>
        <v>0</v>
      </c>
      <c r="H128" s="13">
        <f>'W-Dem'!H399*Sum!H$277*D247*12</f>
        <v>0</v>
      </c>
      <c r="I128" s="13">
        <f>'W-Dem'!I399*Sum!I$277*$D$247*12</f>
        <v>0</v>
      </c>
      <c r="J128" s="13">
        <f>'W-Dem'!J399*Sum!J$277*$D$247*12</f>
        <v>0</v>
      </c>
      <c r="K128" s="13">
        <f>'W-Dem'!K399*Sum!K$277*$D$247*12</f>
        <v>0</v>
      </c>
      <c r="L128" s="13">
        <f>'W-Dem'!L399*Sum!L$277*$D$247*12</f>
        <v>0</v>
      </c>
      <c r="M128" s="13">
        <f>'W-Dem'!M399*Sum!M$277*$D$247*12</f>
        <v>0</v>
      </c>
      <c r="N128" s="13">
        <f>'W-Dem'!N399*Sum!N$277*$D$247*12</f>
        <v>0</v>
      </c>
      <c r="O128" s="13">
        <f>'W-Dem'!O399*Sum!O$277*$D$247*12</f>
        <v>0</v>
      </c>
      <c r="P128" s="13">
        <f>'W-Dem'!P399*Sum!P$277*$D$247*12</f>
        <v>0</v>
      </c>
    </row>
    <row r="129" spans="1:16" s="3" customFormat="1" ht="12.75" customHeight="1" x14ac:dyDescent="0.25">
      <c r="B129" s="117" t="s">
        <v>211</v>
      </c>
      <c r="C129" s="3" t="s">
        <v>205</v>
      </c>
      <c r="E129" s="13">
        <f>'W-Dem'!E400*Sum!E$278*D247*12</f>
        <v>0</v>
      </c>
      <c r="F129" s="13">
        <f>'W-Dem'!F400*Sum!F$278*D247*12</f>
        <v>0</v>
      </c>
      <c r="G129" s="153">
        <f>'W-Dem'!G400*Sum!G$278*D247*12</f>
        <v>0</v>
      </c>
      <c r="H129" s="13">
        <f>'W-Dem'!H400*Sum!H$278*D247*12</f>
        <v>0</v>
      </c>
      <c r="I129" s="13">
        <f>'W-Dem'!I400*Sum!I$278*$D$247*12</f>
        <v>0</v>
      </c>
      <c r="J129" s="13">
        <f>'W-Dem'!J400*Sum!J$278*$D$247*12</f>
        <v>0</v>
      </c>
      <c r="K129" s="13">
        <f>'W-Dem'!K400*Sum!K$278*$D$247*12</f>
        <v>0</v>
      </c>
      <c r="L129" s="13">
        <f>'W-Dem'!L400*Sum!L$278*$D$247*12</f>
        <v>0</v>
      </c>
      <c r="M129" s="13">
        <f>'W-Dem'!M400*Sum!M$278*$D$247*12</f>
        <v>0</v>
      </c>
      <c r="N129" s="13">
        <f>'W-Dem'!N400*Sum!N$278*$D$247*12</f>
        <v>0</v>
      </c>
      <c r="O129" s="13">
        <f>'W-Dem'!O400*Sum!O$278*$D$247*12</f>
        <v>0</v>
      </c>
      <c r="P129" s="13">
        <f>'W-Dem'!P400*Sum!P$278*$D$247*12</f>
        <v>0</v>
      </c>
    </row>
    <row r="130" spans="1:16" s="3" customFormat="1" ht="12.75" customHeight="1" x14ac:dyDescent="0.25">
      <c r="B130" s="117" t="s">
        <v>212</v>
      </c>
      <c r="C130" s="3" t="s">
        <v>205</v>
      </c>
      <c r="E130" s="13">
        <f>'W-Dem'!E401*Sum!E$279*D247*12</f>
        <v>0</v>
      </c>
      <c r="F130" s="13">
        <f>'W-Dem'!F401*Sum!F$279*D247*12</f>
        <v>0</v>
      </c>
      <c r="G130" s="153">
        <f>'W-Dem'!G401*Sum!G$279*D247*12</f>
        <v>0</v>
      </c>
      <c r="H130" s="13">
        <f>'W-Dem'!H401*Sum!H$279*D247*12</f>
        <v>0</v>
      </c>
      <c r="I130" s="13">
        <f>'W-Dem'!I401*Sum!I$279*$D$247*12</f>
        <v>0</v>
      </c>
      <c r="J130" s="13">
        <f>'W-Dem'!J401*Sum!J$279*$D$247*12</f>
        <v>0</v>
      </c>
      <c r="K130" s="13">
        <f>'W-Dem'!K401*Sum!K$279*$D$247*12</f>
        <v>0</v>
      </c>
      <c r="L130" s="13">
        <f>'W-Dem'!L401*Sum!L$279*$D$247*12</f>
        <v>0</v>
      </c>
      <c r="M130" s="13">
        <f>'W-Dem'!M401*Sum!M$279*$D$247*12</f>
        <v>0</v>
      </c>
      <c r="N130" s="13">
        <f>'W-Dem'!N401*Sum!N$279*$D$247*12</f>
        <v>0</v>
      </c>
      <c r="O130" s="13">
        <f>'W-Dem'!O401*Sum!O$279*$D$247*12</f>
        <v>0</v>
      </c>
      <c r="P130" s="13">
        <f>'W-Dem'!P401*Sum!P$279*$D$247*12</f>
        <v>0</v>
      </c>
    </row>
    <row r="131" spans="1:16" s="3" customFormat="1" ht="12.75" customHeight="1" x14ac:dyDescent="0.25">
      <c r="A131" s="22"/>
      <c r="B131" s="213" t="s">
        <v>213</v>
      </c>
      <c r="C131" s="22" t="s">
        <v>205</v>
      </c>
      <c r="D131" s="22"/>
      <c r="E131" s="30">
        <f>'W-Dem'!E402*Sum!E$280*D247*12</f>
        <v>0</v>
      </c>
      <c r="F131" s="30">
        <f>'W-Dem'!F402*Sum!F$280*D247*12</f>
        <v>0</v>
      </c>
      <c r="G131" s="154">
        <f>'W-Dem'!G402*Sum!G$280*D247*12</f>
        <v>0</v>
      </c>
      <c r="H131" s="30">
        <f>'W-Dem'!H402*Sum!H$280*D247*12</f>
        <v>0</v>
      </c>
      <c r="I131" s="30">
        <f>'W-Dem'!I402*Sum!I$280*$D$247*12</f>
        <v>0</v>
      </c>
      <c r="J131" s="30">
        <f>'W-Dem'!J402*Sum!J$280*$D$247*12</f>
        <v>0</v>
      </c>
      <c r="K131" s="30">
        <f>'W-Dem'!K402*Sum!K$280*$D$247*12</f>
        <v>0</v>
      </c>
      <c r="L131" s="30">
        <f>'W-Dem'!L402*Sum!L$280*$D$247*12</f>
        <v>0</v>
      </c>
      <c r="M131" s="30">
        <f>'W-Dem'!M402*Sum!M$280*$D$247*12</f>
        <v>0</v>
      </c>
      <c r="N131" s="30">
        <f>'W-Dem'!N402*Sum!N$280*$D$247*12</f>
        <v>0</v>
      </c>
      <c r="O131" s="30">
        <f>'W-Dem'!O402*Sum!O$280*$D$247*12</f>
        <v>0</v>
      </c>
      <c r="P131" s="30">
        <f>'W-Dem'!P402*Sum!P$280*$D$247*12</f>
        <v>0</v>
      </c>
    </row>
    <row r="132" spans="1:16" s="3" customFormat="1" ht="12.75" customHeight="1" x14ac:dyDescent="0.25">
      <c r="A132" s="16"/>
      <c r="B132" s="3" t="s">
        <v>341</v>
      </c>
      <c r="C132" s="37"/>
      <c r="D132" s="37"/>
      <c r="E132" s="20">
        <f t="shared" ref="E132:I132" si="39">SUM(E124:E131)</f>
        <v>0</v>
      </c>
      <c r="F132" s="20">
        <f t="shared" si="39"/>
        <v>0</v>
      </c>
      <c r="G132" s="153">
        <f t="shared" si="39"/>
        <v>0</v>
      </c>
      <c r="H132" s="13">
        <f t="shared" si="39"/>
        <v>0</v>
      </c>
      <c r="I132" s="13">
        <f t="shared" si="39"/>
        <v>0</v>
      </c>
      <c r="J132" s="13">
        <f t="shared" ref="J132:P132" si="40">SUM(J124:J131)</f>
        <v>0</v>
      </c>
      <c r="K132" s="13">
        <f t="shared" si="40"/>
        <v>0</v>
      </c>
      <c r="L132" s="13">
        <f t="shared" si="40"/>
        <v>0</v>
      </c>
      <c r="M132" s="13">
        <f t="shared" si="40"/>
        <v>0</v>
      </c>
      <c r="N132" s="13">
        <f t="shared" si="40"/>
        <v>0</v>
      </c>
      <c r="O132" s="13">
        <f t="shared" si="40"/>
        <v>0</v>
      </c>
      <c r="P132" s="13">
        <f t="shared" si="40"/>
        <v>0</v>
      </c>
    </row>
    <row r="133" spans="1:16" s="3" customFormat="1" ht="12.75" customHeight="1" x14ac:dyDescent="0.25">
      <c r="A133" s="16"/>
      <c r="C133" s="37"/>
      <c r="D133" s="37"/>
      <c r="E133" s="13"/>
      <c r="F133" s="13"/>
      <c r="G133" s="153"/>
      <c r="H133" s="13"/>
      <c r="I133" s="13"/>
      <c r="J133" s="13"/>
      <c r="K133" s="13"/>
      <c r="L133" s="13"/>
      <c r="M133" s="13"/>
      <c r="N133" s="13"/>
      <c r="O133" s="13"/>
      <c r="P133" s="13"/>
    </row>
    <row r="134" spans="1:16" s="3" customFormat="1" ht="12.75" customHeight="1" x14ac:dyDescent="0.25">
      <c r="A134" s="29"/>
      <c r="B134" s="148" t="s">
        <v>299</v>
      </c>
      <c r="C134" s="37"/>
      <c r="D134" s="37"/>
      <c r="G134" s="151"/>
    </row>
    <row r="135" spans="1:16" s="3" customFormat="1" ht="12.75" customHeight="1" x14ac:dyDescent="0.25">
      <c r="B135" s="117" t="s">
        <v>214</v>
      </c>
      <c r="C135" s="3" t="s">
        <v>205</v>
      </c>
      <c r="E135" s="13">
        <f>'W-Dem'!E407*Sum!E$273*D247*12</f>
        <v>0</v>
      </c>
      <c r="F135" s="13">
        <f>'W-Dem'!F407*Sum!F$273*D247*12</f>
        <v>0</v>
      </c>
      <c r="G135" s="153">
        <f>'W-Dem'!G407*Sum!G$273*D247*12</f>
        <v>0</v>
      </c>
      <c r="H135" s="13">
        <f>'W-Dem'!H407*Sum!H$273*D247*12</f>
        <v>0</v>
      </c>
      <c r="I135" s="13">
        <f>'W-Dem'!I407*Sum!I$273*$D$247*12</f>
        <v>0</v>
      </c>
      <c r="J135" s="13">
        <f>'W-Dem'!J407*Sum!J$273*$D$247*12</f>
        <v>0</v>
      </c>
      <c r="K135" s="13">
        <f>'W-Dem'!K407*Sum!K$273*$D$247*12</f>
        <v>0</v>
      </c>
      <c r="L135" s="13">
        <f>'W-Dem'!L407*Sum!L$273*$D$247*12</f>
        <v>0</v>
      </c>
      <c r="M135" s="13">
        <f>'W-Dem'!M407*Sum!M$273*$D$247*12</f>
        <v>0</v>
      </c>
      <c r="N135" s="13">
        <f>'W-Dem'!N407*Sum!N$273*$D$247*12</f>
        <v>0</v>
      </c>
      <c r="O135" s="13">
        <f>'W-Dem'!O407*Sum!O$273*$D$247*12</f>
        <v>0</v>
      </c>
      <c r="P135" s="13">
        <f>'W-Dem'!P407*Sum!P$273*$D$247*12</f>
        <v>0</v>
      </c>
    </row>
    <row r="136" spans="1:16" s="3" customFormat="1" ht="12.75" customHeight="1" x14ac:dyDescent="0.25">
      <c r="B136" s="117" t="s">
        <v>207</v>
      </c>
      <c r="C136" s="3" t="s">
        <v>205</v>
      </c>
      <c r="E136" s="13">
        <f>'W-Dem'!E408*Sum!E$274*D247*12</f>
        <v>0</v>
      </c>
      <c r="F136" s="13">
        <f>'W-Dem'!F408*Sum!F$274*D247*12</f>
        <v>0</v>
      </c>
      <c r="G136" s="153">
        <f>'W-Dem'!G408*Sum!G$274*D247*12</f>
        <v>0</v>
      </c>
      <c r="H136" s="13">
        <f>'W-Dem'!H408*Sum!H$274*D247*12</f>
        <v>0</v>
      </c>
      <c r="I136" s="13">
        <f>'W-Dem'!I408*Sum!I$274*$D$247*12</f>
        <v>0</v>
      </c>
      <c r="J136" s="13">
        <f>'W-Dem'!J408*Sum!J$274*$D$247*12</f>
        <v>0</v>
      </c>
      <c r="K136" s="13">
        <f>'W-Dem'!K408*Sum!K$274*$D$247*12</f>
        <v>0</v>
      </c>
      <c r="L136" s="13">
        <f>'W-Dem'!L408*Sum!L$274*$D$247*12</f>
        <v>0</v>
      </c>
      <c r="M136" s="13">
        <f>'W-Dem'!M408*Sum!M$274*$D$247*12</f>
        <v>0</v>
      </c>
      <c r="N136" s="13">
        <f>'W-Dem'!N408*Sum!N$274*$D$247*12</f>
        <v>0</v>
      </c>
      <c r="O136" s="13">
        <f>'W-Dem'!O408*Sum!O$274*$D$247*12</f>
        <v>0</v>
      </c>
      <c r="P136" s="13">
        <f>'W-Dem'!P408*Sum!P$274*$D$247*12</f>
        <v>0</v>
      </c>
    </row>
    <row r="137" spans="1:16" s="3" customFormat="1" ht="12.75" customHeight="1" x14ac:dyDescent="0.25">
      <c r="B137" s="117" t="s">
        <v>208</v>
      </c>
      <c r="C137" s="3" t="s">
        <v>205</v>
      </c>
      <c r="E137" s="13">
        <f>'W-Dem'!E409*Sum!E$275*D247*12</f>
        <v>0</v>
      </c>
      <c r="F137" s="13">
        <f>'W-Dem'!F409*Sum!F$275*D247*12</f>
        <v>0</v>
      </c>
      <c r="G137" s="153">
        <f>'W-Dem'!G409*Sum!G$275*D247*12</f>
        <v>0</v>
      </c>
      <c r="H137" s="13">
        <f>'W-Dem'!H409*Sum!H$275*D247*12</f>
        <v>0</v>
      </c>
      <c r="I137" s="13">
        <f>'W-Dem'!I409*Sum!I$275*$D$247*12</f>
        <v>0</v>
      </c>
      <c r="J137" s="13">
        <f>'W-Dem'!J409*Sum!J$275*$D$247*12</f>
        <v>0</v>
      </c>
      <c r="K137" s="13">
        <f>'W-Dem'!K409*Sum!K$275*$D$247*12</f>
        <v>0</v>
      </c>
      <c r="L137" s="13">
        <f>'W-Dem'!L409*Sum!L$275*$D$247*12</f>
        <v>0</v>
      </c>
      <c r="M137" s="13">
        <f>'W-Dem'!M409*Sum!M$275*$D$247*12</f>
        <v>0</v>
      </c>
      <c r="N137" s="13">
        <f>'W-Dem'!N409*Sum!N$275*$D$247*12</f>
        <v>0</v>
      </c>
      <c r="O137" s="13">
        <f>'W-Dem'!O409*Sum!O$275*$D$247*12</f>
        <v>0</v>
      </c>
      <c r="P137" s="13">
        <f>'W-Dem'!P409*Sum!P$275*$D$247*12</f>
        <v>0</v>
      </c>
    </row>
    <row r="138" spans="1:16" s="3" customFormat="1" ht="12.75" customHeight="1" x14ac:dyDescent="0.25">
      <c r="B138" s="117" t="s">
        <v>209</v>
      </c>
      <c r="C138" s="3" t="s">
        <v>205</v>
      </c>
      <c r="E138" s="13">
        <f>'W-Dem'!E410*Sum!E$276*D247*12</f>
        <v>0</v>
      </c>
      <c r="F138" s="13">
        <f>'W-Dem'!F410*Sum!F$276*D247*12</f>
        <v>0</v>
      </c>
      <c r="G138" s="153">
        <f>'W-Dem'!G410*Sum!G$276*D247*12</f>
        <v>0</v>
      </c>
      <c r="H138" s="13">
        <f>'W-Dem'!H410*Sum!H$276*D247*12</f>
        <v>0</v>
      </c>
      <c r="I138" s="13">
        <f>'W-Dem'!I410*Sum!I$276*$D$247*12</f>
        <v>0</v>
      </c>
      <c r="J138" s="13">
        <f>'W-Dem'!J410*Sum!J$276*$D$247*12</f>
        <v>0</v>
      </c>
      <c r="K138" s="13">
        <f>'W-Dem'!K410*Sum!K$276*$D$247*12</f>
        <v>0</v>
      </c>
      <c r="L138" s="13">
        <f>'W-Dem'!L410*Sum!L$276*$D$247*12</f>
        <v>0</v>
      </c>
      <c r="M138" s="13">
        <f>'W-Dem'!M410*Sum!M$276*$D$247*12</f>
        <v>0</v>
      </c>
      <c r="N138" s="13">
        <f>'W-Dem'!N410*Sum!N$276*$D$247*12</f>
        <v>0</v>
      </c>
      <c r="O138" s="13">
        <f>'W-Dem'!O410*Sum!O$276*$D$247*12</f>
        <v>0</v>
      </c>
      <c r="P138" s="13">
        <f>'W-Dem'!P410*Sum!P$276*$D$247*12</f>
        <v>0</v>
      </c>
    </row>
    <row r="139" spans="1:16" s="3" customFormat="1" ht="12.75" customHeight="1" x14ac:dyDescent="0.25">
      <c r="B139" s="117" t="s">
        <v>210</v>
      </c>
      <c r="C139" s="3" t="s">
        <v>205</v>
      </c>
      <c r="E139" s="13">
        <f>'W-Dem'!E411*Sum!E$277*D247*12</f>
        <v>0</v>
      </c>
      <c r="F139" s="13">
        <f>'W-Dem'!F411*Sum!F$277*D247*12</f>
        <v>0</v>
      </c>
      <c r="G139" s="153">
        <f>'W-Dem'!G411*Sum!G$277*D247*12</f>
        <v>0</v>
      </c>
      <c r="H139" s="13">
        <f>'W-Dem'!H411*Sum!H$277*D247*12</f>
        <v>0</v>
      </c>
      <c r="I139" s="13">
        <f>'W-Dem'!I411*Sum!I$277*$D$247*12</f>
        <v>0</v>
      </c>
      <c r="J139" s="13">
        <f>'W-Dem'!J411*Sum!J$277*$D$247*12</f>
        <v>0</v>
      </c>
      <c r="K139" s="13">
        <f>'W-Dem'!K411*Sum!K$277*$D$247*12</f>
        <v>0</v>
      </c>
      <c r="L139" s="13">
        <f>'W-Dem'!L411*Sum!L$277*$D$247*12</f>
        <v>0</v>
      </c>
      <c r="M139" s="13">
        <f>'W-Dem'!M411*Sum!M$277*$D$247*12</f>
        <v>0</v>
      </c>
      <c r="N139" s="13">
        <f>'W-Dem'!N411*Sum!N$277*$D$247*12</f>
        <v>0</v>
      </c>
      <c r="O139" s="13">
        <f>'W-Dem'!O411*Sum!O$277*$D$247*12</f>
        <v>0</v>
      </c>
      <c r="P139" s="13">
        <f>'W-Dem'!P411*Sum!P$277*$D$247*12</f>
        <v>0</v>
      </c>
    </row>
    <row r="140" spans="1:16" s="3" customFormat="1" ht="12.75" customHeight="1" x14ac:dyDescent="0.25">
      <c r="B140" s="117" t="s">
        <v>211</v>
      </c>
      <c r="C140" s="3" t="s">
        <v>205</v>
      </c>
      <c r="E140" s="13">
        <f>'W-Dem'!E412*Sum!E$278*D247*12</f>
        <v>0</v>
      </c>
      <c r="F140" s="13">
        <f>'W-Dem'!F412*Sum!F$278*D247*12</f>
        <v>0</v>
      </c>
      <c r="G140" s="153">
        <f>'W-Dem'!G412*Sum!G$278*D247*12</f>
        <v>0</v>
      </c>
      <c r="H140" s="13">
        <f>'W-Dem'!H412*Sum!H$278*D247*12</f>
        <v>0</v>
      </c>
      <c r="I140" s="13">
        <f>'W-Dem'!I412*Sum!I$278*$D$247*12</f>
        <v>0</v>
      </c>
      <c r="J140" s="13">
        <f>'W-Dem'!J412*Sum!J$278*$D$247*12</f>
        <v>0</v>
      </c>
      <c r="K140" s="13">
        <f>'W-Dem'!K412*Sum!K$278*$D$247*12</f>
        <v>0</v>
      </c>
      <c r="L140" s="13">
        <f>'W-Dem'!L412*Sum!L$278*$D$247*12</f>
        <v>0</v>
      </c>
      <c r="M140" s="13">
        <f>'W-Dem'!M412*Sum!M$278*$D$247*12</f>
        <v>0</v>
      </c>
      <c r="N140" s="13">
        <f>'W-Dem'!N412*Sum!N$278*$D$247*12</f>
        <v>0</v>
      </c>
      <c r="O140" s="13">
        <f>'W-Dem'!O412*Sum!O$278*$D$247*12</f>
        <v>0</v>
      </c>
      <c r="P140" s="13">
        <f>'W-Dem'!P412*Sum!P$278*$D$247*12</f>
        <v>0</v>
      </c>
    </row>
    <row r="141" spans="1:16" s="3" customFormat="1" ht="12.75" customHeight="1" x14ac:dyDescent="0.25">
      <c r="B141" s="117" t="s">
        <v>212</v>
      </c>
      <c r="C141" s="3" t="s">
        <v>205</v>
      </c>
      <c r="E141" s="13">
        <f>'W-Dem'!E413*Sum!E$279*D247*12</f>
        <v>0</v>
      </c>
      <c r="F141" s="13">
        <f>'W-Dem'!F413*Sum!F$279*D247*12</f>
        <v>0</v>
      </c>
      <c r="G141" s="153">
        <f>'W-Dem'!G413*Sum!G$279*D247*12</f>
        <v>0</v>
      </c>
      <c r="H141" s="13">
        <f>'W-Dem'!H413*Sum!H$279*D247*12</f>
        <v>0</v>
      </c>
      <c r="I141" s="13">
        <f>'W-Dem'!I413*Sum!I$279*$D$247*12</f>
        <v>0</v>
      </c>
      <c r="J141" s="13">
        <f>'W-Dem'!J413*Sum!J$279*$D$247*12</f>
        <v>0</v>
      </c>
      <c r="K141" s="13">
        <f>'W-Dem'!K413*Sum!K$279*$D$247*12</f>
        <v>0</v>
      </c>
      <c r="L141" s="13">
        <f>'W-Dem'!L413*Sum!L$279*$D$247*12</f>
        <v>0</v>
      </c>
      <c r="M141" s="13">
        <f>'W-Dem'!M413*Sum!M$279*$D$247*12</f>
        <v>0</v>
      </c>
      <c r="N141" s="13">
        <f>'W-Dem'!N413*Sum!N$279*$D$247*12</f>
        <v>0</v>
      </c>
      <c r="O141" s="13">
        <f>'W-Dem'!O413*Sum!O$279*$D$247*12</f>
        <v>0</v>
      </c>
      <c r="P141" s="13">
        <f>'W-Dem'!P413*Sum!P$279*$D$247*12</f>
        <v>0</v>
      </c>
    </row>
    <row r="142" spans="1:16" s="3" customFormat="1" ht="12.75" customHeight="1" x14ac:dyDescent="0.25">
      <c r="A142" s="22"/>
      <c r="B142" s="213" t="s">
        <v>213</v>
      </c>
      <c r="C142" s="22" t="s">
        <v>205</v>
      </c>
      <c r="D142" s="22"/>
      <c r="E142" s="30">
        <f>'W-Dem'!E414*Sum!E$280*D247*12</f>
        <v>0</v>
      </c>
      <c r="F142" s="30">
        <f>'W-Dem'!F414*Sum!F$280*D247*12</f>
        <v>0</v>
      </c>
      <c r="G142" s="154">
        <f>'W-Dem'!G414*Sum!G$280*D247*12</f>
        <v>0</v>
      </c>
      <c r="H142" s="30">
        <f>'W-Dem'!H414*Sum!H$280*D247*12</f>
        <v>0</v>
      </c>
      <c r="I142" s="30">
        <f>'W-Dem'!I414*Sum!I$280*$D$247*12</f>
        <v>0</v>
      </c>
      <c r="J142" s="30">
        <f>'W-Dem'!J414*Sum!J$280*$D$247*12</f>
        <v>0</v>
      </c>
      <c r="K142" s="30">
        <f>'W-Dem'!K414*Sum!K$280*$D$247*12</f>
        <v>0</v>
      </c>
      <c r="L142" s="30">
        <f>'W-Dem'!L414*Sum!L$280*$D$247*12</f>
        <v>0</v>
      </c>
      <c r="M142" s="30">
        <f>'W-Dem'!M414*Sum!M$280*$D$247*12</f>
        <v>0</v>
      </c>
      <c r="N142" s="30">
        <f>'W-Dem'!N414*Sum!N$280*$D$247*12</f>
        <v>0</v>
      </c>
      <c r="O142" s="30">
        <f>'W-Dem'!O414*Sum!O$280*$D$247*12</f>
        <v>0</v>
      </c>
      <c r="P142" s="30">
        <f>'W-Dem'!P414*Sum!P$280*$D$247*12</f>
        <v>0</v>
      </c>
    </row>
    <row r="143" spans="1:16" s="3" customFormat="1" ht="12.75" customHeight="1" x14ac:dyDescent="0.25">
      <c r="A143" s="16"/>
      <c r="B143" s="3" t="s">
        <v>341</v>
      </c>
      <c r="C143" s="37"/>
      <c r="D143" s="37"/>
      <c r="E143" s="20">
        <f t="shared" ref="E143:I143" si="41">SUM(E135:E142)</f>
        <v>0</v>
      </c>
      <c r="F143" s="20">
        <f t="shared" si="41"/>
        <v>0</v>
      </c>
      <c r="G143" s="153">
        <f t="shared" si="41"/>
        <v>0</v>
      </c>
      <c r="H143" s="13">
        <f t="shared" si="41"/>
        <v>0</v>
      </c>
      <c r="I143" s="13">
        <f t="shared" si="41"/>
        <v>0</v>
      </c>
      <c r="J143" s="13">
        <f t="shared" ref="J143:P143" si="42">SUM(J135:J142)</f>
        <v>0</v>
      </c>
      <c r="K143" s="13">
        <f t="shared" si="42"/>
        <v>0</v>
      </c>
      <c r="L143" s="13">
        <f t="shared" si="42"/>
        <v>0</v>
      </c>
      <c r="M143" s="13">
        <f t="shared" si="42"/>
        <v>0</v>
      </c>
      <c r="N143" s="13">
        <f t="shared" si="42"/>
        <v>0</v>
      </c>
      <c r="O143" s="13">
        <f t="shared" si="42"/>
        <v>0</v>
      </c>
      <c r="P143" s="13">
        <f t="shared" si="42"/>
        <v>0</v>
      </c>
    </row>
    <row r="144" spans="1:16" s="3" customFormat="1" ht="12.75" customHeight="1" thickBot="1" x14ac:dyDescent="0.3">
      <c r="A144" s="16"/>
      <c r="B144" s="32"/>
      <c r="C144" s="94"/>
      <c r="D144" s="94"/>
      <c r="E144" s="33"/>
      <c r="F144" s="33"/>
      <c r="G144" s="174"/>
      <c r="H144" s="33"/>
      <c r="I144" s="33"/>
      <c r="J144" s="33"/>
      <c r="K144" s="33"/>
      <c r="L144" s="33"/>
      <c r="M144" s="33"/>
      <c r="N144" s="33"/>
      <c r="O144" s="33"/>
      <c r="P144" s="33"/>
    </row>
    <row r="145" spans="1:16" s="3" customFormat="1" ht="12.75" customHeight="1" thickTop="1" x14ac:dyDescent="0.25">
      <c r="A145" s="16"/>
      <c r="B145" s="29" t="s">
        <v>181</v>
      </c>
      <c r="C145" s="90"/>
      <c r="D145" s="90"/>
      <c r="E145" s="149">
        <f t="shared" ref="E145:I145" si="43">SUM(E110,E121,E132,E143)</f>
        <v>0</v>
      </c>
      <c r="F145" s="149">
        <f t="shared" si="43"/>
        <v>0</v>
      </c>
      <c r="G145" s="176">
        <f t="shared" si="43"/>
        <v>0</v>
      </c>
      <c r="H145" s="149">
        <f t="shared" si="43"/>
        <v>0</v>
      </c>
      <c r="I145" s="149">
        <f t="shared" si="43"/>
        <v>0</v>
      </c>
      <c r="J145" s="149">
        <f t="shared" ref="J145:P145" si="44">SUM(J110,J121,J132,J143)</f>
        <v>0</v>
      </c>
      <c r="K145" s="149">
        <f t="shared" si="44"/>
        <v>0</v>
      </c>
      <c r="L145" s="149">
        <f t="shared" si="44"/>
        <v>0</v>
      </c>
      <c r="M145" s="149">
        <f t="shared" si="44"/>
        <v>0</v>
      </c>
      <c r="N145" s="149">
        <f t="shared" si="44"/>
        <v>0</v>
      </c>
      <c r="O145" s="149">
        <f t="shared" si="44"/>
        <v>0</v>
      </c>
      <c r="P145" s="149">
        <f t="shared" si="44"/>
        <v>0</v>
      </c>
    </row>
    <row r="146" spans="1:16" s="3" customFormat="1" ht="12.75" customHeight="1" x14ac:dyDescent="0.25">
      <c r="A146" s="16"/>
      <c r="C146" s="37"/>
      <c r="D146" s="37"/>
      <c r="E146" s="20"/>
      <c r="F146" s="20"/>
      <c r="G146" s="153"/>
      <c r="H146" s="13"/>
      <c r="I146" s="13"/>
      <c r="J146" s="13"/>
      <c r="K146" s="13"/>
      <c r="L146" s="13"/>
      <c r="M146" s="13"/>
      <c r="N146" s="13"/>
      <c r="O146" s="13"/>
      <c r="P146" s="13"/>
    </row>
    <row r="147" spans="1:16" s="3" customFormat="1" ht="12.75" customHeight="1" x14ac:dyDescent="0.25">
      <c r="A147" s="77" t="s">
        <v>246</v>
      </c>
      <c r="C147" s="37"/>
      <c r="D147" s="37"/>
      <c r="E147" s="20"/>
      <c r="F147" s="20"/>
      <c r="G147" s="153"/>
      <c r="H147" s="13"/>
      <c r="I147" s="13"/>
      <c r="J147" s="13"/>
      <c r="K147" s="13"/>
      <c r="L147" s="13"/>
      <c r="M147" s="13"/>
      <c r="N147" s="13"/>
      <c r="O147" s="13"/>
      <c r="P147" s="13"/>
    </row>
    <row r="148" spans="1:16" s="3" customFormat="1" ht="12.75" customHeight="1" x14ac:dyDescent="0.25">
      <c r="A148" s="16"/>
      <c r="B148" s="22" t="s">
        <v>86</v>
      </c>
      <c r="C148" s="93"/>
      <c r="D148" s="93"/>
      <c r="E148" s="76">
        <f>'W-Dem'!C420*Sum!D$278*12</f>
        <v>0</v>
      </c>
      <c r="F148" s="76">
        <f>'W-Dem'!D420*Sum!E$278*12</f>
        <v>0</v>
      </c>
      <c r="G148" s="154">
        <f>'W-Dem'!E420*Sum!F$278*12</f>
        <v>0</v>
      </c>
      <c r="H148" s="30">
        <f>'W-Dem'!F420*Sum!G$278*12</f>
        <v>0</v>
      </c>
      <c r="I148" s="30">
        <f>'W-Dem'!G420*Sum!H$278*12</f>
        <v>0</v>
      </c>
      <c r="J148" s="30">
        <f>'W-Dem'!H420*Sum!I$278*12</f>
        <v>0</v>
      </c>
      <c r="K148" s="30">
        <f>'W-Dem'!I420*Sum!J$278*12</f>
        <v>0</v>
      </c>
      <c r="L148" s="30">
        <f>'W-Dem'!J420*Sum!K$278*12</f>
        <v>0</v>
      </c>
      <c r="M148" s="30">
        <f>'W-Dem'!K420*Sum!L$278*12</f>
        <v>0</v>
      </c>
      <c r="N148" s="30">
        <f>'W-Dem'!L420*Sum!M$278*12</f>
        <v>0</v>
      </c>
      <c r="O148" s="30">
        <f>'W-Dem'!M420*Sum!N$278*12</f>
        <v>0</v>
      </c>
      <c r="P148" s="30">
        <f>'W-Dem'!N420*Sum!O$278*12</f>
        <v>0</v>
      </c>
    </row>
    <row r="149" spans="1:16" s="3" customFormat="1" ht="12.75" customHeight="1" x14ac:dyDescent="0.25">
      <c r="A149" s="16"/>
      <c r="B149" s="3" t="s">
        <v>27</v>
      </c>
      <c r="C149" s="37"/>
      <c r="D149" s="37"/>
      <c r="E149" s="20">
        <f t="shared" ref="E149:I149" si="45">SUM(E148:E148)</f>
        <v>0</v>
      </c>
      <c r="F149" s="20">
        <f t="shared" si="45"/>
        <v>0</v>
      </c>
      <c r="G149" s="153">
        <f t="shared" si="45"/>
        <v>0</v>
      </c>
      <c r="H149" s="13">
        <f t="shared" si="45"/>
        <v>0</v>
      </c>
      <c r="I149" s="13">
        <f t="shared" si="45"/>
        <v>0</v>
      </c>
      <c r="J149" s="13">
        <f t="shared" ref="J149:P149" si="46">SUM(J148:J148)</f>
        <v>0</v>
      </c>
      <c r="K149" s="13">
        <f t="shared" si="46"/>
        <v>0</v>
      </c>
      <c r="L149" s="13">
        <f t="shared" si="46"/>
        <v>0</v>
      </c>
      <c r="M149" s="13">
        <f t="shared" si="46"/>
        <v>0</v>
      </c>
      <c r="N149" s="13">
        <f t="shared" si="46"/>
        <v>0</v>
      </c>
      <c r="O149" s="13">
        <f t="shared" si="46"/>
        <v>0</v>
      </c>
      <c r="P149" s="13">
        <f t="shared" si="46"/>
        <v>0</v>
      </c>
    </row>
    <row r="150" spans="1:16" s="3" customFormat="1" ht="12.75" customHeight="1" thickBot="1" x14ac:dyDescent="0.3">
      <c r="A150" s="106"/>
      <c r="B150" s="94"/>
      <c r="C150" s="94"/>
      <c r="D150" s="94"/>
      <c r="E150" s="33"/>
      <c r="F150" s="33"/>
      <c r="G150" s="174"/>
      <c r="H150" s="33"/>
      <c r="I150" s="33"/>
      <c r="J150" s="33"/>
      <c r="K150" s="33"/>
      <c r="L150" s="33"/>
      <c r="M150" s="33"/>
      <c r="N150" s="33"/>
      <c r="O150" s="33"/>
      <c r="P150" s="33"/>
    </row>
    <row r="151" spans="1:16" s="3" customFormat="1" ht="12.75" customHeight="1" thickTop="1" x14ac:dyDescent="0.25">
      <c r="A151" s="29" t="s">
        <v>183</v>
      </c>
      <c r="C151" s="37"/>
      <c r="D151" s="37"/>
      <c r="E151" s="149">
        <f t="shared" ref="E151:I151" si="47">SUM(E98,E145,E149)</f>
        <v>371505.15</v>
      </c>
      <c r="F151" s="149">
        <f t="shared" si="47"/>
        <v>371505.15</v>
      </c>
      <c r="G151" s="176">
        <f t="shared" si="47"/>
        <v>650134.01249999995</v>
      </c>
      <c r="H151" s="149">
        <f t="shared" si="47"/>
        <v>715147.41375000007</v>
      </c>
      <c r="I151" s="149">
        <f t="shared" si="47"/>
        <v>736601.8361625002</v>
      </c>
      <c r="J151" s="149">
        <f t="shared" ref="J151:P151" si="48">SUM(J98,J145,J149)</f>
        <v>758699.89124737529</v>
      </c>
      <c r="K151" s="149">
        <f t="shared" si="48"/>
        <v>781460.88798479643</v>
      </c>
      <c r="L151" s="149">
        <f t="shared" si="48"/>
        <v>804904.71462434041</v>
      </c>
      <c r="M151" s="149">
        <f t="shared" si="48"/>
        <v>829051.85606307071</v>
      </c>
      <c r="N151" s="149">
        <f t="shared" si="48"/>
        <v>853923.4117449628</v>
      </c>
      <c r="O151" s="149">
        <f t="shared" si="48"/>
        <v>879541.11409731163</v>
      </c>
      <c r="P151" s="149">
        <f t="shared" si="48"/>
        <v>905927.34752023104</v>
      </c>
    </row>
    <row r="152" spans="1:16" s="3" customFormat="1" ht="12.75" customHeight="1" thickBot="1" x14ac:dyDescent="0.3">
      <c r="A152" s="7"/>
      <c r="B152" s="91"/>
      <c r="C152" s="91"/>
      <c r="D152" s="91"/>
      <c r="E152" s="15"/>
      <c r="F152" s="15"/>
      <c r="G152" s="155"/>
      <c r="H152" s="15"/>
      <c r="I152" s="15"/>
      <c r="J152" s="15"/>
      <c r="K152" s="15"/>
      <c r="L152" s="15"/>
      <c r="M152" s="15"/>
      <c r="N152" s="15"/>
      <c r="O152" s="15"/>
      <c r="P152" s="15"/>
    </row>
    <row r="153" spans="1:16" s="3" customFormat="1" ht="12.75" customHeight="1" x14ac:dyDescent="0.25">
      <c r="B153" s="37"/>
      <c r="C153" s="37"/>
      <c r="D153" s="37"/>
      <c r="E153" s="13"/>
      <c r="F153" s="13"/>
      <c r="G153" s="423"/>
      <c r="H153" s="13"/>
      <c r="I153" s="13"/>
      <c r="J153" s="13"/>
      <c r="K153" s="13"/>
      <c r="L153" s="13"/>
      <c r="M153" s="13"/>
      <c r="N153" s="13"/>
      <c r="O153" s="13"/>
      <c r="P153" s="13"/>
    </row>
    <row r="154" spans="1:16" s="3" customFormat="1" ht="12.75" customHeight="1" x14ac:dyDescent="0.25">
      <c r="B154" s="37"/>
      <c r="C154" s="37"/>
      <c r="D154" s="37"/>
      <c r="E154" s="13"/>
      <c r="F154" s="13"/>
      <c r="G154" s="13"/>
      <c r="H154" s="13"/>
      <c r="I154" s="13"/>
      <c r="J154" s="13"/>
      <c r="K154" s="13"/>
      <c r="L154" s="13"/>
      <c r="M154" s="13"/>
      <c r="N154" s="13"/>
      <c r="O154" s="13"/>
      <c r="P154" s="13"/>
    </row>
    <row r="155" spans="1:16" s="3" customFormat="1" ht="12.75" customHeight="1" x14ac:dyDescent="0.25">
      <c r="B155" s="37"/>
      <c r="C155" s="37"/>
      <c r="D155" s="37"/>
      <c r="E155" s="13"/>
      <c r="F155" s="13"/>
      <c r="G155" s="13"/>
      <c r="H155" s="13"/>
      <c r="I155" s="13"/>
      <c r="J155" s="13"/>
      <c r="K155" s="13"/>
      <c r="L155" s="13"/>
      <c r="M155" s="13"/>
      <c r="N155" s="13"/>
      <c r="O155" s="13"/>
      <c r="P155" s="13"/>
    </row>
    <row r="156" spans="1:16" s="3" customFormat="1" ht="12.75" customHeight="1" x14ac:dyDescent="0.25">
      <c r="A156" s="77" t="s">
        <v>150</v>
      </c>
      <c r="B156" s="95"/>
      <c r="C156" s="90"/>
      <c r="D156" s="90"/>
    </row>
    <row r="157" spans="1:16" s="3" customFormat="1" ht="12.75" customHeight="1" x14ac:dyDescent="0.25">
      <c r="A157" s="77" t="s">
        <v>177</v>
      </c>
      <c r="B157" s="95"/>
      <c r="C157" s="90"/>
      <c r="D157" s="90"/>
    </row>
    <row r="158" spans="1:16" s="3" customFormat="1" ht="12.75" customHeight="1" thickBot="1" x14ac:dyDescent="0.3">
      <c r="A158" s="78" t="s">
        <v>428</v>
      </c>
      <c r="B158" s="96"/>
      <c r="C158" s="92"/>
      <c r="D158" s="92"/>
      <c r="E158" s="7"/>
      <c r="F158" s="7"/>
      <c r="G158" s="7"/>
      <c r="H158" s="7"/>
      <c r="I158" s="7"/>
      <c r="J158" s="7"/>
      <c r="K158" s="7"/>
      <c r="L158" s="7"/>
      <c r="M158" s="7"/>
      <c r="N158" s="7"/>
      <c r="O158" s="7"/>
      <c r="P158" s="7"/>
    </row>
    <row r="159" spans="1:16" s="3" customFormat="1" ht="12.75" customHeight="1" x14ac:dyDescent="0.25">
      <c r="A159" s="645" t="s">
        <v>215</v>
      </c>
      <c r="B159" s="645"/>
      <c r="C159" s="645"/>
      <c r="D159" s="214"/>
      <c r="E159" s="215">
        <f>Sum!E$5</f>
        <v>2023</v>
      </c>
      <c r="F159" s="215">
        <f>Sum!F$5</f>
        <v>2024</v>
      </c>
      <c r="G159" s="216">
        <f>Sum!G$5</f>
        <v>2025</v>
      </c>
      <c r="H159" s="215">
        <f>Sum!H$5</f>
        <v>2026</v>
      </c>
      <c r="I159" s="215">
        <f>Sum!I$5</f>
        <v>2027</v>
      </c>
      <c r="J159" s="215">
        <f>Sum!J$5</f>
        <v>2028</v>
      </c>
      <c r="K159" s="215">
        <f>Sum!K$5</f>
        <v>2029</v>
      </c>
      <c r="L159" s="215">
        <f>Sum!L$5</f>
        <v>2030</v>
      </c>
      <c r="M159" s="215">
        <f>Sum!M$5</f>
        <v>2031</v>
      </c>
      <c r="N159" s="215">
        <f>Sum!N$5</f>
        <v>2032</v>
      </c>
      <c r="O159" s="215">
        <f>Sum!O$5</f>
        <v>2033</v>
      </c>
      <c r="P159" s="215">
        <f>Sum!P$5</f>
        <v>2034</v>
      </c>
    </row>
    <row r="160" spans="1:16" s="3" customFormat="1" ht="12.75" customHeight="1" x14ac:dyDescent="0.25">
      <c r="A160" s="16"/>
      <c r="B160" s="16"/>
      <c r="C160" s="16"/>
      <c r="D160" s="16"/>
      <c r="E160" s="120"/>
      <c r="F160" s="120"/>
      <c r="G160" s="178"/>
      <c r="H160" s="120"/>
      <c r="I160" s="120"/>
      <c r="J160" s="120"/>
      <c r="K160" s="120"/>
      <c r="L160" s="120"/>
      <c r="M160" s="120"/>
      <c r="N160" s="120"/>
      <c r="O160" s="120"/>
      <c r="P160" s="120"/>
    </row>
    <row r="161" spans="1:18" s="3" customFormat="1" ht="12.75" customHeight="1" x14ac:dyDescent="0.25">
      <c r="A161" s="77" t="s">
        <v>13</v>
      </c>
      <c r="B161" s="97"/>
      <c r="C161" s="97"/>
      <c r="D161" s="97"/>
      <c r="E161" s="40"/>
      <c r="F161" s="40"/>
      <c r="G161" s="162"/>
      <c r="H161" s="40"/>
      <c r="I161" s="40"/>
      <c r="J161" s="40"/>
      <c r="K161" s="40"/>
      <c r="L161" s="40"/>
      <c r="M161" s="40"/>
      <c r="N161" s="40"/>
      <c r="O161" s="40"/>
      <c r="P161" s="40"/>
    </row>
    <row r="162" spans="1:18" s="3" customFormat="1" ht="12.75" customHeight="1" x14ac:dyDescent="0.25">
      <c r="A162" s="84" t="s">
        <v>216</v>
      </c>
      <c r="B162" s="37"/>
      <c r="C162" s="90"/>
      <c r="D162" s="90"/>
      <c r="G162" s="153"/>
    </row>
    <row r="163" spans="1:18" s="3" customFormat="1" ht="12.75" customHeight="1" x14ac:dyDescent="0.25">
      <c r="A163" s="16"/>
      <c r="B163" s="88">
        <f>'W-Dem'!B223</f>
        <v>0</v>
      </c>
      <c r="C163" s="88">
        <f>'W-Dem'!C223</f>
        <v>3000</v>
      </c>
      <c r="D163" s="97"/>
      <c r="E163" s="13">
        <f>'W-Dem'!E223*1000000/1000*Sum!E285*'W-Rev'!$D$247</f>
        <v>0</v>
      </c>
      <c r="F163" s="625">
        <f>'W-Dem'!F223*1000000/1000*Sum!F285*'W-Rev'!$D$247</f>
        <v>0</v>
      </c>
      <c r="G163" s="289">
        <f>'W-Dem'!G223*1000000/1000*Sum!G285*'W-Rev'!$D$247</f>
        <v>0</v>
      </c>
      <c r="H163" s="290">
        <f>'W-Dem'!H223*1000000/1000*Sum!H285*'W-Rev'!$D$247</f>
        <v>0</v>
      </c>
      <c r="I163" s="290">
        <f>'W-Dem'!I223*1000000/1000*Sum!I285*'W-Rev'!$D$247</f>
        <v>0</v>
      </c>
      <c r="J163" s="290">
        <f>'W-Dem'!J223*1000000/1000*Sum!J285*'W-Rev'!$D$247</f>
        <v>0</v>
      </c>
      <c r="K163" s="290">
        <f>'W-Dem'!K223*1000000/1000*Sum!K285*'W-Rev'!$D$247</f>
        <v>0</v>
      </c>
      <c r="L163" s="290">
        <f>'W-Dem'!L223*1000000/1000*Sum!L285*'W-Rev'!$D$247</f>
        <v>0</v>
      </c>
      <c r="M163" s="290">
        <f>'W-Dem'!M223*1000000/1000*Sum!M285*'W-Rev'!$D$247</f>
        <v>0</v>
      </c>
      <c r="N163" s="290">
        <f>'W-Dem'!N223*1000000/1000*Sum!N285*'W-Rev'!$D$247</f>
        <v>0</v>
      </c>
      <c r="O163" s="290">
        <f>'W-Dem'!O223*1000000/1000*Sum!O285*'W-Rev'!$D$247</f>
        <v>0</v>
      </c>
      <c r="P163" s="290">
        <f>'W-Dem'!P223*1000000/1000*Sum!P285*'W-Rev'!$D$247</f>
        <v>0</v>
      </c>
      <c r="R163" s="625"/>
    </row>
    <row r="164" spans="1:18" s="3" customFormat="1" ht="12.75" customHeight="1" x14ac:dyDescent="0.25">
      <c r="A164" s="16"/>
      <c r="B164" s="88">
        <f>'W-Dem'!B224</f>
        <v>3001</v>
      </c>
      <c r="C164" s="88">
        <f>'W-Dem'!C224</f>
        <v>99999999</v>
      </c>
      <c r="D164" s="97"/>
      <c r="E164" s="13">
        <f>'W-Dem'!E224*1000000/1000*Sum!E286*'W-Rev'!$D$247</f>
        <v>404417.3372999999</v>
      </c>
      <c r="F164" s="13">
        <f>'W-Dem'!F224*1000000/1000*Sum!F286*'W-Rev'!$D$247</f>
        <v>404417.3372999999</v>
      </c>
      <c r="G164" s="289">
        <f>'W-Dem'!G224*1000000/1000*Sum!G286*'W-Rev'!$D$247</f>
        <v>709078.39806599985</v>
      </c>
      <c r="H164" s="290">
        <f>'W-Dem'!H224*1000000/1000*Sum!H286*'W-Rev'!$D$247</f>
        <v>779177.40319799981</v>
      </c>
      <c r="I164" s="290">
        <f>'W-Dem'!I224*1000000/1000*Sum!I286*'W-Rev'!$D$247</f>
        <v>803442.4434359998</v>
      </c>
      <c r="J164" s="290">
        <f>'W-Dem'!J224*1000000/1000*Sum!J286*'W-Rev'!$D$247</f>
        <v>827707.48367399978</v>
      </c>
      <c r="K164" s="290">
        <f>'W-Dem'!K224*1000000/1000*Sum!K286*'W-Rev'!$D$247</f>
        <v>851972.52391199977</v>
      </c>
      <c r="L164" s="290">
        <f>'W-Dem'!L224*1000000/1000*Sum!L286*'W-Rev'!$D$247</f>
        <v>876237.56414999976</v>
      </c>
      <c r="M164" s="290">
        <f>'W-Dem'!M224*1000000/1000*Sum!M286*'W-Rev'!$D$247</f>
        <v>903198.71996999974</v>
      </c>
      <c r="N164" s="290">
        <f>'W-Dem'!N224*1000000/1000*Sum!N286*'W-Rev'!$D$247</f>
        <v>930159.87578999985</v>
      </c>
      <c r="O164" s="290">
        <f>'W-Dem'!O224*1000000/1000*Sum!O286*'W-Rev'!$D$247</f>
        <v>957121.03160999971</v>
      </c>
      <c r="P164" s="290">
        <f>'W-Dem'!P224*1000000/1000*Sum!P286*'W-Rev'!$D$247</f>
        <v>986778.30301199981</v>
      </c>
    </row>
    <row r="165" spans="1:18" s="3" customFormat="1" ht="12.75" customHeight="1" x14ac:dyDescent="0.25">
      <c r="A165" s="16"/>
      <c r="B165" s="88">
        <f>'W-Dem'!B225</f>
        <v>0</v>
      </c>
      <c r="C165" s="88">
        <f>'W-Dem'!C225</f>
        <v>0</v>
      </c>
      <c r="D165" s="97"/>
      <c r="E165" s="13">
        <f>'W-Dem'!E225*1000000/1000*Sum!E287*'W-Rev'!$D$247</f>
        <v>0</v>
      </c>
      <c r="F165" s="13">
        <f>'W-Dem'!F225*1000000/1000*Sum!F287*'W-Rev'!$D$247</f>
        <v>0</v>
      </c>
      <c r="G165" s="289">
        <f>'W-Dem'!G225*1000000/1000*Sum!G287*'W-Rev'!$D$247</f>
        <v>0</v>
      </c>
      <c r="H165" s="290">
        <f>'W-Dem'!H225*1000000/1000*Sum!H287*'W-Rev'!$D$247</f>
        <v>0</v>
      </c>
      <c r="I165" s="290">
        <f>'W-Dem'!I225*1000000/1000*Sum!I287*'W-Rev'!$D$247</f>
        <v>0</v>
      </c>
      <c r="J165" s="290">
        <f>'W-Dem'!J225*1000000/1000*Sum!J287*'W-Rev'!$D$247</f>
        <v>0</v>
      </c>
      <c r="K165" s="290">
        <f>'W-Dem'!K225*1000000/1000*Sum!K287*'W-Rev'!$D$247</f>
        <v>0</v>
      </c>
      <c r="L165" s="290">
        <f>'W-Dem'!L225*1000000/1000*Sum!L287*'W-Rev'!$D$247</f>
        <v>0</v>
      </c>
      <c r="M165" s="290">
        <f>'W-Dem'!M225*1000000/1000*Sum!M287*'W-Rev'!$D$247</f>
        <v>0</v>
      </c>
      <c r="N165" s="290">
        <f>'W-Dem'!N225*1000000/1000*Sum!N287*'W-Rev'!$D$247</f>
        <v>0</v>
      </c>
      <c r="O165" s="290">
        <f>'W-Dem'!O225*1000000/1000*Sum!O287*'W-Rev'!$D$247</f>
        <v>0</v>
      </c>
      <c r="P165" s="290">
        <f>'W-Dem'!P225*1000000/1000*Sum!P287*'W-Rev'!$D$247</f>
        <v>0</v>
      </c>
    </row>
    <row r="166" spans="1:18" s="3" customFormat="1" ht="12.75" customHeight="1" x14ac:dyDescent="0.25">
      <c r="A166" s="16"/>
      <c r="B166" s="88">
        <f>'W-Dem'!B226</f>
        <v>0</v>
      </c>
      <c r="C166" s="88">
        <f>'W-Dem'!C226</f>
        <v>0</v>
      </c>
      <c r="D166" s="97"/>
      <c r="E166" s="13">
        <f>'W-Dem'!E226*1000000/1000*Sum!E288*'W-Rev'!$D$247</f>
        <v>0</v>
      </c>
      <c r="F166" s="13">
        <f>'W-Dem'!F226*1000000/1000*Sum!F288*'W-Rev'!$D$247</f>
        <v>0</v>
      </c>
      <c r="G166" s="289">
        <f>'W-Dem'!G226*1000000/1000*Sum!G288*'W-Rev'!$D$247</f>
        <v>0</v>
      </c>
      <c r="H166" s="290">
        <f>'W-Dem'!H226*1000000/1000*Sum!H288*'W-Rev'!$D$247</f>
        <v>0</v>
      </c>
      <c r="I166" s="290">
        <f>'W-Dem'!I226*1000000/1000*Sum!I288*'W-Rev'!$D$247</f>
        <v>0</v>
      </c>
      <c r="J166" s="290">
        <f>'W-Dem'!J226*1000000/1000*Sum!J288*'W-Rev'!$D$247</f>
        <v>0</v>
      </c>
      <c r="K166" s="290">
        <f>'W-Dem'!K226*1000000/1000*Sum!K288*'W-Rev'!$D$247</f>
        <v>0</v>
      </c>
      <c r="L166" s="290">
        <f>'W-Dem'!L226*1000000/1000*Sum!L288*'W-Rev'!$D$247</f>
        <v>0</v>
      </c>
      <c r="M166" s="290">
        <f>'W-Dem'!M226*1000000/1000*Sum!M288*'W-Rev'!$D$247</f>
        <v>0</v>
      </c>
      <c r="N166" s="290">
        <f>'W-Dem'!N226*1000000/1000*Sum!N288*'W-Rev'!$D$247</f>
        <v>0</v>
      </c>
      <c r="O166" s="290">
        <f>'W-Dem'!O226*1000000/1000*Sum!O288*'W-Rev'!$D$247</f>
        <v>0</v>
      </c>
      <c r="P166" s="290">
        <f>'W-Dem'!P226*1000000/1000*Sum!P288*'W-Rev'!$D$247</f>
        <v>0</v>
      </c>
    </row>
    <row r="167" spans="1:18" s="3" customFormat="1" ht="12.75" customHeight="1" x14ac:dyDescent="0.25">
      <c r="A167" s="16"/>
      <c r="B167" s="88">
        <f>'W-Dem'!B227</f>
        <v>0</v>
      </c>
      <c r="C167" s="88">
        <f>'W-Dem'!C227</f>
        <v>0</v>
      </c>
      <c r="D167" s="97"/>
      <c r="E167" s="36">
        <f>'W-Dem'!E227*1000000/1000*Sum!E289*'W-Rev'!$D$247</f>
        <v>0</v>
      </c>
      <c r="F167" s="13">
        <f>'W-Dem'!F227*1000000/1000*Sum!F289*'W-Rev'!$D$247</f>
        <v>0</v>
      </c>
      <c r="G167" s="289">
        <f>'W-Dem'!G227*1000000/1000*Sum!G289*'W-Rev'!$D$247</f>
        <v>0</v>
      </c>
      <c r="H167" s="290">
        <f>'W-Dem'!H227*1000000/1000*Sum!H289*'W-Rev'!$D$247</f>
        <v>0</v>
      </c>
      <c r="I167" s="290">
        <f>'W-Dem'!I227*1000000/1000*Sum!I289*'W-Rev'!$D$247</f>
        <v>0</v>
      </c>
      <c r="J167" s="290">
        <f>'W-Dem'!J227*1000000/1000*Sum!J289*'W-Rev'!$D$247</f>
        <v>0</v>
      </c>
      <c r="K167" s="290">
        <f>'W-Dem'!K227*1000000/1000*Sum!K289*'W-Rev'!$D$247</f>
        <v>0</v>
      </c>
      <c r="L167" s="290">
        <f>'W-Dem'!L227*1000000/1000*Sum!L289*'W-Rev'!$D$247</f>
        <v>0</v>
      </c>
      <c r="M167" s="290">
        <f>'W-Dem'!M227*1000000/1000*Sum!M289*'W-Rev'!$D$247</f>
        <v>0</v>
      </c>
      <c r="N167" s="290">
        <f>'W-Dem'!N227*1000000/1000*Sum!N289*'W-Rev'!$D$247</f>
        <v>0</v>
      </c>
      <c r="O167" s="290">
        <f>'W-Dem'!O227*1000000/1000*Sum!O289*'W-Rev'!$D$247</f>
        <v>0</v>
      </c>
      <c r="P167" s="290">
        <f>'W-Dem'!P227*1000000/1000*Sum!P289*'W-Rev'!$D$247</f>
        <v>0</v>
      </c>
    </row>
    <row r="168" spans="1:18" s="3" customFormat="1" ht="12.75" customHeight="1" x14ac:dyDescent="0.25">
      <c r="A168" s="16"/>
      <c r="B168" s="88">
        <f>'W-Dem'!B228</f>
        <v>0</v>
      </c>
      <c r="C168" s="88">
        <f>'W-Dem'!C228</f>
        <v>0</v>
      </c>
      <c r="D168" s="97"/>
      <c r="E168" s="36">
        <f>'W-Dem'!E228*1000000/1000*Sum!E290*'W-Rev'!$D$247</f>
        <v>0</v>
      </c>
      <c r="F168" s="13">
        <f>'W-Dem'!F228*1000000/1000*Sum!F290*'W-Rev'!$D$247</f>
        <v>0</v>
      </c>
      <c r="G168" s="289">
        <f>'W-Dem'!G228*1000000/1000*Sum!G290*'W-Rev'!$D$247</f>
        <v>0</v>
      </c>
      <c r="H168" s="290">
        <f>'W-Dem'!H228*1000000/1000*Sum!H290*'W-Rev'!$D$247</f>
        <v>0</v>
      </c>
      <c r="I168" s="290">
        <f>'W-Dem'!I228*1000000/1000*Sum!I290*'W-Rev'!$D$247</f>
        <v>0</v>
      </c>
      <c r="J168" s="290">
        <f>'W-Dem'!J228*1000000/1000*Sum!J290*'W-Rev'!$D$247</f>
        <v>0</v>
      </c>
      <c r="K168" s="290">
        <f>'W-Dem'!K228*1000000/1000*Sum!K290*'W-Rev'!$D$247</f>
        <v>0</v>
      </c>
      <c r="L168" s="290">
        <f>'W-Dem'!L228*1000000/1000*Sum!L290*'W-Rev'!$D$247</f>
        <v>0</v>
      </c>
      <c r="M168" s="290">
        <f>'W-Dem'!M228*1000000/1000*Sum!M290*'W-Rev'!$D$247</f>
        <v>0</v>
      </c>
      <c r="N168" s="290">
        <f>'W-Dem'!N228*1000000/1000*Sum!N290*'W-Rev'!$D$247</f>
        <v>0</v>
      </c>
      <c r="O168" s="290">
        <f>'W-Dem'!O228*1000000/1000*Sum!O290*'W-Rev'!$D$247</f>
        <v>0</v>
      </c>
      <c r="P168" s="290">
        <f>'W-Dem'!P228*1000000/1000*Sum!P290*'W-Rev'!$D$247</f>
        <v>0</v>
      </c>
    </row>
    <row r="169" spans="1:18" s="3" customFormat="1" ht="12.75" customHeight="1" x14ac:dyDescent="0.25">
      <c r="A169" s="16"/>
      <c r="B169" s="89">
        <f>'W-Dem'!B229</f>
        <v>0</v>
      </c>
      <c r="C169" s="89">
        <f>'W-Dem'!C229</f>
        <v>0</v>
      </c>
      <c r="D169" s="291"/>
      <c r="E169" s="396">
        <f>'W-Dem'!E229*1000000/1000*Sum!E291*'W-Rev'!$D$247</f>
        <v>0</v>
      </c>
      <c r="F169" s="76">
        <f>'W-Dem'!F229*1000000/1000*Sum!F291*'W-Rev'!$D$247</f>
        <v>0</v>
      </c>
      <c r="G169" s="293">
        <f>'W-Dem'!G229*1000000/1000*Sum!G291*'W-Rev'!$D$247</f>
        <v>0</v>
      </c>
      <c r="H169" s="294">
        <f>'W-Dem'!H229*1000000/1000*Sum!H291*'W-Rev'!$D$247</f>
        <v>0</v>
      </c>
      <c r="I169" s="294">
        <f>'W-Dem'!I229*1000000/1000*Sum!I291*'W-Rev'!$D$247</f>
        <v>0</v>
      </c>
      <c r="J169" s="294">
        <f>'W-Dem'!J229*1000000/1000*Sum!J291*'W-Rev'!$D$247</f>
        <v>0</v>
      </c>
      <c r="K169" s="294">
        <f>'W-Dem'!K229*1000000/1000*Sum!K291*'W-Rev'!$D$247</f>
        <v>0</v>
      </c>
      <c r="L169" s="294">
        <f>'W-Dem'!L229*1000000/1000*Sum!L291*'W-Rev'!$D$247</f>
        <v>0</v>
      </c>
      <c r="M169" s="294">
        <f>'W-Dem'!M229*1000000/1000*Sum!M291*'W-Rev'!$D$247</f>
        <v>0</v>
      </c>
      <c r="N169" s="294">
        <f>'W-Dem'!N229*1000000/1000*Sum!N291*'W-Rev'!$D$247</f>
        <v>0</v>
      </c>
      <c r="O169" s="294">
        <f>'W-Dem'!O229*1000000/1000*Sum!O291*'W-Rev'!$D$247</f>
        <v>0</v>
      </c>
      <c r="P169" s="294">
        <f>'W-Dem'!P229*1000000/1000*Sum!P291*'W-Rev'!$D$247</f>
        <v>0</v>
      </c>
    </row>
    <row r="170" spans="1:18" s="3" customFormat="1" ht="12.75" customHeight="1" x14ac:dyDescent="0.25">
      <c r="A170" s="16"/>
      <c r="B170" s="88"/>
      <c r="C170" s="88" t="s">
        <v>219</v>
      </c>
      <c r="D170" s="97"/>
      <c r="E170" s="20">
        <f t="shared" ref="E170:I170" si="49">SUM(E163:E169)</f>
        <v>404417.3372999999</v>
      </c>
      <c r="F170" s="20">
        <f t="shared" si="49"/>
        <v>404417.3372999999</v>
      </c>
      <c r="G170" s="289">
        <f t="shared" si="49"/>
        <v>709078.39806599985</v>
      </c>
      <c r="H170" s="290">
        <f t="shared" si="49"/>
        <v>779177.40319799981</v>
      </c>
      <c r="I170" s="290">
        <f t="shared" si="49"/>
        <v>803442.4434359998</v>
      </c>
      <c r="J170" s="290">
        <f t="shared" ref="J170:P170" si="50">SUM(J163:J169)</f>
        <v>827707.48367399978</v>
      </c>
      <c r="K170" s="290">
        <f t="shared" si="50"/>
        <v>851972.52391199977</v>
      </c>
      <c r="L170" s="290">
        <f t="shared" si="50"/>
        <v>876237.56414999976</v>
      </c>
      <c r="M170" s="290">
        <f t="shared" si="50"/>
        <v>903198.71996999974</v>
      </c>
      <c r="N170" s="290">
        <f t="shared" si="50"/>
        <v>930159.87578999985</v>
      </c>
      <c r="O170" s="290">
        <f t="shared" si="50"/>
        <v>957121.03160999971</v>
      </c>
      <c r="P170" s="290">
        <f t="shared" si="50"/>
        <v>986778.30301199981</v>
      </c>
    </row>
    <row r="171" spans="1:18" s="3" customFormat="1" ht="12.75" customHeight="1" x14ac:dyDescent="0.25">
      <c r="A171" s="16"/>
      <c r="B171" s="88"/>
      <c r="C171" s="88"/>
      <c r="D171" s="97"/>
      <c r="E171" s="36"/>
      <c r="F171" s="13"/>
      <c r="G171" s="179"/>
      <c r="H171" s="36"/>
      <c r="I171" s="36"/>
      <c r="J171" s="36"/>
      <c r="K171" s="36"/>
      <c r="L171" s="36"/>
      <c r="M171" s="36"/>
      <c r="N171" s="36"/>
      <c r="O171" s="36"/>
      <c r="P171" s="36"/>
    </row>
    <row r="172" spans="1:18" s="3" customFormat="1" ht="12.75" customHeight="1" x14ac:dyDescent="0.25">
      <c r="A172" s="84" t="s">
        <v>343</v>
      </c>
      <c r="B172" s="388"/>
      <c r="C172" s="389"/>
      <c r="D172" s="373"/>
      <c r="E172" s="207"/>
      <c r="F172" s="20"/>
      <c r="G172" s="390"/>
      <c r="H172" s="207"/>
      <c r="I172" s="207"/>
      <c r="J172" s="207"/>
      <c r="K172" s="207"/>
      <c r="L172" s="207"/>
      <c r="M172" s="207"/>
      <c r="N172" s="207"/>
      <c r="O172" s="207"/>
      <c r="P172" s="207"/>
    </row>
    <row r="173" spans="1:18" s="3" customFormat="1" ht="12.75" customHeight="1" x14ac:dyDescent="0.25">
      <c r="A173" s="16"/>
      <c r="B173" s="391">
        <f>'W-Dem'!B233</f>
        <v>0</v>
      </c>
      <c r="C173" s="391">
        <f>'W-Dem'!C233</f>
        <v>3000</v>
      </c>
      <c r="D173" s="131"/>
      <c r="E173" s="13">
        <f>'W-Dem'!E233*1000000/1000*Sum!E294*'W-Rev'!$D$247</f>
        <v>0</v>
      </c>
      <c r="F173" s="20">
        <f>'W-Dem'!F233*1000000/1000*Sum!F294*'W-Rev'!$D$247</f>
        <v>0</v>
      </c>
      <c r="G173" s="392">
        <f>'W-Dem'!G233*1000000/1000*Sum!G294*'W-Rev'!$D$247</f>
        <v>0</v>
      </c>
      <c r="H173" s="393">
        <f>'W-Dem'!H233*1000000/1000*Sum!H294*'W-Rev'!$D$247</f>
        <v>0</v>
      </c>
      <c r="I173" s="393">
        <f>'W-Dem'!I233*1000000/1000*Sum!I294*'W-Rev'!$D$247</f>
        <v>0</v>
      </c>
      <c r="J173" s="393">
        <f>'W-Dem'!J233*1000000/1000*Sum!J294*'W-Rev'!$D$247</f>
        <v>0</v>
      </c>
      <c r="K173" s="393">
        <f>'W-Dem'!K233*1000000/1000*Sum!K294*'W-Rev'!$D$247</f>
        <v>0</v>
      </c>
      <c r="L173" s="393">
        <f>'W-Dem'!L233*1000000/1000*Sum!L294*'W-Rev'!$D$247</f>
        <v>0</v>
      </c>
      <c r="M173" s="393">
        <f>'W-Dem'!M233*1000000/1000*Sum!M294*'W-Rev'!$D$247</f>
        <v>0</v>
      </c>
      <c r="N173" s="393">
        <f>'W-Dem'!N233*1000000/1000*Sum!N294*'W-Rev'!$D$247</f>
        <v>0</v>
      </c>
      <c r="O173" s="393">
        <f>'W-Dem'!O233*1000000/1000*Sum!O294*'W-Rev'!$D$247</f>
        <v>0</v>
      </c>
      <c r="P173" s="393">
        <f>'W-Dem'!P233*1000000/1000*Sum!P294*'W-Rev'!$D$247</f>
        <v>0</v>
      </c>
    </row>
    <row r="174" spans="1:18" s="3" customFormat="1" ht="12.75" customHeight="1" x14ac:dyDescent="0.25">
      <c r="A174" s="16"/>
      <c r="B174" s="391">
        <f>'W-Dem'!B234</f>
        <v>3001</v>
      </c>
      <c r="C174" s="391">
        <f>'W-Dem'!C234</f>
        <v>99999999</v>
      </c>
      <c r="D174" s="131"/>
      <c r="E174" s="20">
        <f>'W-Dem'!E234*1000000/1000*Sum!E295*'W-Rev'!$D$247</f>
        <v>484027.21124999999</v>
      </c>
      <c r="F174" s="20">
        <f>'W-Dem'!F234*1000000/1000*Sum!F295*'W-Rev'!$D$247</f>
        <v>484027.21124999999</v>
      </c>
      <c r="G174" s="392">
        <f>'W-Dem'!G234*1000000/1000*Sum!G295*'W-Rev'!$D$247</f>
        <v>848661.043725</v>
      </c>
      <c r="H174" s="393">
        <f>'W-Dem'!H234*1000000/1000*Sum!H295*'W-Rev'!$D$247</f>
        <v>932559.09367500001</v>
      </c>
      <c r="I174" s="393">
        <f>'W-Dem'!I234*1000000/1000*Sum!I295*'W-Rev'!$D$247</f>
        <v>961600.7263499999</v>
      </c>
      <c r="J174" s="393">
        <f>'W-Dem'!J234*1000000/1000*Sum!J295*'W-Rev'!$D$247</f>
        <v>990642.3590249999</v>
      </c>
      <c r="K174" s="393">
        <f>'W-Dem'!K234*1000000/1000*Sum!K295*'W-Rev'!$D$247</f>
        <v>1019683.9917</v>
      </c>
      <c r="L174" s="393">
        <f>'W-Dem'!L234*1000000/1000*Sum!L295*'W-Rev'!$D$247</f>
        <v>1048725.6243749999</v>
      </c>
      <c r="M174" s="393">
        <f>'W-Dem'!M234*1000000/1000*Sum!M295*'W-Rev'!$D$247</f>
        <v>1080994.105125</v>
      </c>
      <c r="N174" s="393">
        <f>'W-Dem'!N234*1000000/1000*Sum!N295*'W-Rev'!$D$247</f>
        <v>1113262.5858749999</v>
      </c>
      <c r="O174" s="393">
        <f>'W-Dem'!O234*1000000/1000*Sum!O295*'W-Rev'!$D$247</f>
        <v>1145531.066625</v>
      </c>
      <c r="P174" s="393">
        <f>'W-Dem'!P234*1000000/1000*Sum!P295*'W-Rev'!$D$247</f>
        <v>1181026.39545</v>
      </c>
    </row>
    <row r="175" spans="1:18" s="3" customFormat="1" ht="12.75" customHeight="1" x14ac:dyDescent="0.25">
      <c r="A175" s="16"/>
      <c r="B175" s="391">
        <f>'W-Dem'!B235</f>
        <v>0</v>
      </c>
      <c r="C175" s="391">
        <f>'W-Dem'!C235</f>
        <v>0</v>
      </c>
      <c r="D175" s="131"/>
      <c r="E175" s="20">
        <f>'W-Dem'!E235*1000000/1000*Sum!E296*'W-Rev'!$D$247</f>
        <v>0</v>
      </c>
      <c r="F175" s="20">
        <f>'W-Dem'!F235*1000000/1000*Sum!F296*'W-Rev'!$D$247</f>
        <v>0</v>
      </c>
      <c r="G175" s="392">
        <f>'W-Dem'!G235*1000000/1000*Sum!G296*'W-Rev'!$D$247</f>
        <v>0</v>
      </c>
      <c r="H175" s="393">
        <f>'W-Dem'!H235*1000000/1000*Sum!H296*'W-Rev'!$D$247</f>
        <v>0</v>
      </c>
      <c r="I175" s="393">
        <f>'W-Dem'!I235*1000000/1000*Sum!I296*'W-Rev'!$D$247</f>
        <v>0</v>
      </c>
      <c r="J175" s="393">
        <f>'W-Dem'!J235*1000000/1000*Sum!J296*'W-Rev'!$D$247</f>
        <v>0</v>
      </c>
      <c r="K175" s="393">
        <f>'W-Dem'!K235*1000000/1000*Sum!K296*'W-Rev'!$D$247</f>
        <v>0</v>
      </c>
      <c r="L175" s="393">
        <f>'W-Dem'!L235*1000000/1000*Sum!L296*'W-Rev'!$D$247</f>
        <v>0</v>
      </c>
      <c r="M175" s="393">
        <f>'W-Dem'!M235*1000000/1000*Sum!M296*'W-Rev'!$D$247</f>
        <v>0</v>
      </c>
      <c r="N175" s="393">
        <f>'W-Dem'!N235*1000000/1000*Sum!N296*'W-Rev'!$D$247</f>
        <v>0</v>
      </c>
      <c r="O175" s="393">
        <f>'W-Dem'!O235*1000000/1000*Sum!O296*'W-Rev'!$D$247</f>
        <v>0</v>
      </c>
      <c r="P175" s="393">
        <f>'W-Dem'!P235*1000000/1000*Sum!P296*'W-Rev'!$D$247</f>
        <v>0</v>
      </c>
    </row>
    <row r="176" spans="1:18" s="3" customFormat="1" ht="12.75" customHeight="1" x14ac:dyDescent="0.25">
      <c r="A176" s="16"/>
      <c r="B176" s="391">
        <f>'W-Dem'!B236</f>
        <v>0</v>
      </c>
      <c r="C176" s="391">
        <f>'W-Dem'!C236</f>
        <v>0</v>
      </c>
      <c r="D176" s="131"/>
      <c r="E176" s="20">
        <f>'W-Dem'!E236*1000000/1000*Sum!E297*'W-Rev'!$D$247</f>
        <v>0</v>
      </c>
      <c r="F176" s="20">
        <f>'W-Dem'!F236*1000000/1000*Sum!F297*'W-Rev'!$D$247</f>
        <v>0</v>
      </c>
      <c r="G176" s="392">
        <f>'W-Dem'!G236*1000000/1000*Sum!G297*'W-Rev'!$D$247</f>
        <v>0</v>
      </c>
      <c r="H176" s="393">
        <f>'W-Dem'!H236*1000000/1000*Sum!H297*'W-Rev'!$D$247</f>
        <v>0</v>
      </c>
      <c r="I176" s="393">
        <f>'W-Dem'!I236*1000000/1000*Sum!I297*'W-Rev'!$D$247</f>
        <v>0</v>
      </c>
      <c r="J176" s="393">
        <f>'W-Dem'!J236*1000000/1000*Sum!J297*'W-Rev'!$D$247</f>
        <v>0</v>
      </c>
      <c r="K176" s="393">
        <f>'W-Dem'!K236*1000000/1000*Sum!K297*'W-Rev'!$D$247</f>
        <v>0</v>
      </c>
      <c r="L176" s="393">
        <f>'W-Dem'!L236*1000000/1000*Sum!L297*'W-Rev'!$D$247</f>
        <v>0</v>
      </c>
      <c r="M176" s="393">
        <f>'W-Dem'!M236*1000000/1000*Sum!M297*'W-Rev'!$D$247</f>
        <v>0</v>
      </c>
      <c r="N176" s="393">
        <f>'W-Dem'!N236*1000000/1000*Sum!N297*'W-Rev'!$D$247</f>
        <v>0</v>
      </c>
      <c r="O176" s="393">
        <f>'W-Dem'!O236*1000000/1000*Sum!O297*'W-Rev'!$D$247</f>
        <v>0</v>
      </c>
      <c r="P176" s="393">
        <f>'W-Dem'!P236*1000000/1000*Sum!P297*'W-Rev'!$D$247</f>
        <v>0</v>
      </c>
    </row>
    <row r="177" spans="1:16" s="3" customFormat="1" ht="12.75" customHeight="1" x14ac:dyDescent="0.25">
      <c r="A177" s="16"/>
      <c r="B177" s="391">
        <f>'W-Dem'!B237</f>
        <v>0</v>
      </c>
      <c r="C177" s="391">
        <f>'W-Dem'!C237</f>
        <v>0</v>
      </c>
      <c r="D177" s="131"/>
      <c r="E177" s="20">
        <f>'W-Dem'!E237*1000000/1000*Sum!E298*'W-Rev'!$D$247</f>
        <v>0</v>
      </c>
      <c r="F177" s="20">
        <f>'W-Dem'!F237*1000000/1000*Sum!F298*'W-Rev'!$D$247</f>
        <v>0</v>
      </c>
      <c r="G177" s="392">
        <f>'W-Dem'!G237*1000000/1000*Sum!G298*'W-Rev'!$D$247</f>
        <v>0</v>
      </c>
      <c r="H177" s="393">
        <f>'W-Dem'!H237*1000000/1000*Sum!H298*'W-Rev'!$D$247</f>
        <v>0</v>
      </c>
      <c r="I177" s="393">
        <f>'W-Dem'!I237*1000000/1000*Sum!I298*'W-Rev'!$D$247</f>
        <v>0</v>
      </c>
      <c r="J177" s="393">
        <f>'W-Dem'!J237*1000000/1000*Sum!J298*'W-Rev'!$D$247</f>
        <v>0</v>
      </c>
      <c r="K177" s="393">
        <f>'W-Dem'!K237*1000000/1000*Sum!K298*'W-Rev'!$D$247</f>
        <v>0</v>
      </c>
      <c r="L177" s="393">
        <f>'W-Dem'!L237*1000000/1000*Sum!L298*'W-Rev'!$D$247</f>
        <v>0</v>
      </c>
      <c r="M177" s="393">
        <f>'W-Dem'!M237*1000000/1000*Sum!M298*'W-Rev'!$D$247</f>
        <v>0</v>
      </c>
      <c r="N177" s="393">
        <f>'W-Dem'!N237*1000000/1000*Sum!N298*'W-Rev'!$D$247</f>
        <v>0</v>
      </c>
      <c r="O177" s="393">
        <f>'W-Dem'!O237*1000000/1000*Sum!O298*'W-Rev'!$D$247</f>
        <v>0</v>
      </c>
      <c r="P177" s="393">
        <f>'W-Dem'!P237*1000000/1000*Sum!P298*'W-Rev'!$D$247</f>
        <v>0</v>
      </c>
    </row>
    <row r="178" spans="1:16" s="3" customFormat="1" ht="12.75" customHeight="1" x14ac:dyDescent="0.25">
      <c r="A178" s="16"/>
      <c r="B178" s="394">
        <f>'W-Dem'!B238</f>
        <v>0</v>
      </c>
      <c r="C178" s="394">
        <f>'W-Dem'!C238</f>
        <v>0</v>
      </c>
      <c r="D178" s="395"/>
      <c r="E178" s="76">
        <f>'W-Dem'!E238*1000000/1000*Sum!E299*'W-Rev'!$D$247</f>
        <v>0</v>
      </c>
      <c r="F178" s="76">
        <f>'W-Dem'!F238*1000000/1000*Sum!F299*'W-Rev'!$D$247</f>
        <v>0</v>
      </c>
      <c r="G178" s="397">
        <f>'W-Dem'!G238*1000000/1000*Sum!G299*'W-Rev'!$D$247</f>
        <v>0</v>
      </c>
      <c r="H178" s="398">
        <f>'W-Dem'!H238*1000000/1000*Sum!H299*'W-Rev'!$D$247</f>
        <v>0</v>
      </c>
      <c r="I178" s="398">
        <f>'W-Dem'!I238*1000000/1000*Sum!I299*'W-Rev'!$D$247</f>
        <v>0</v>
      </c>
      <c r="J178" s="398">
        <f>'W-Dem'!J238*1000000/1000*Sum!J299*'W-Rev'!$D$247</f>
        <v>0</v>
      </c>
      <c r="K178" s="398">
        <f>'W-Dem'!K238*1000000/1000*Sum!K299*'W-Rev'!$D$247</f>
        <v>0</v>
      </c>
      <c r="L178" s="398">
        <f>'W-Dem'!L238*1000000/1000*Sum!L299*'W-Rev'!$D$247</f>
        <v>0</v>
      </c>
      <c r="M178" s="398">
        <f>'W-Dem'!M238*1000000/1000*Sum!M299*'W-Rev'!$D$247</f>
        <v>0</v>
      </c>
      <c r="N178" s="398">
        <f>'W-Dem'!N238*1000000/1000*Sum!N299*'W-Rev'!$D$247</f>
        <v>0</v>
      </c>
      <c r="O178" s="398">
        <f>'W-Dem'!O238*1000000/1000*Sum!O299*'W-Rev'!$D$247</f>
        <v>0</v>
      </c>
      <c r="P178" s="398">
        <f>'W-Dem'!P238*1000000/1000*Sum!P299*'W-Rev'!$D$247</f>
        <v>0</v>
      </c>
    </row>
    <row r="179" spans="1:16" s="3" customFormat="1" ht="12.75" customHeight="1" x14ac:dyDescent="0.25">
      <c r="A179" s="16"/>
      <c r="B179" s="391"/>
      <c r="C179" s="391" t="s">
        <v>219</v>
      </c>
      <c r="D179" s="131"/>
      <c r="E179" s="20">
        <f t="shared" ref="E179:I179" si="51">SUM(E173:E178)</f>
        <v>484027.21124999999</v>
      </c>
      <c r="F179" s="20">
        <f t="shared" si="51"/>
        <v>484027.21124999999</v>
      </c>
      <c r="G179" s="392">
        <f t="shared" si="51"/>
        <v>848661.043725</v>
      </c>
      <c r="H179" s="393">
        <f t="shared" si="51"/>
        <v>932559.09367500001</v>
      </c>
      <c r="I179" s="393">
        <f t="shared" si="51"/>
        <v>961600.7263499999</v>
      </c>
      <c r="J179" s="393">
        <f t="shared" ref="J179:P179" si="52">SUM(J173:J178)</f>
        <v>990642.3590249999</v>
      </c>
      <c r="K179" s="393">
        <f t="shared" si="52"/>
        <v>1019683.9917</v>
      </c>
      <c r="L179" s="393">
        <f t="shared" si="52"/>
        <v>1048725.6243749999</v>
      </c>
      <c r="M179" s="393">
        <f t="shared" si="52"/>
        <v>1080994.105125</v>
      </c>
      <c r="N179" s="393">
        <f t="shared" si="52"/>
        <v>1113262.5858749999</v>
      </c>
      <c r="O179" s="393">
        <f t="shared" si="52"/>
        <v>1145531.066625</v>
      </c>
      <c r="P179" s="393">
        <f t="shared" si="52"/>
        <v>1181026.39545</v>
      </c>
    </row>
    <row r="180" spans="1:16" s="3" customFormat="1" ht="12.75" customHeight="1" x14ac:dyDescent="0.25">
      <c r="A180" s="16"/>
      <c r="B180" s="391"/>
      <c r="C180" s="391"/>
      <c r="D180" s="131"/>
      <c r="E180" s="207"/>
      <c r="F180" s="20"/>
      <c r="G180" s="390"/>
      <c r="H180" s="207"/>
      <c r="I180" s="207"/>
      <c r="J180" s="207"/>
      <c r="K180" s="207"/>
      <c r="L180" s="207"/>
      <c r="M180" s="207"/>
      <c r="N180" s="207"/>
      <c r="O180" s="207"/>
      <c r="P180" s="207"/>
    </row>
    <row r="181" spans="1:16" s="3" customFormat="1" ht="12.75" customHeight="1" x14ac:dyDescent="0.25">
      <c r="A181" s="29" t="s">
        <v>297</v>
      </c>
      <c r="B181" s="388"/>
      <c r="C181" s="389"/>
      <c r="D181" s="373"/>
      <c r="E181" s="207"/>
      <c r="F181" s="20"/>
      <c r="G181" s="390"/>
      <c r="H181" s="207"/>
      <c r="I181" s="207"/>
      <c r="J181" s="207"/>
      <c r="K181" s="207"/>
      <c r="L181" s="207"/>
      <c r="M181" s="207"/>
      <c r="N181" s="207"/>
      <c r="O181" s="207"/>
      <c r="P181" s="207"/>
    </row>
    <row r="182" spans="1:16" s="3" customFormat="1" ht="12.75" customHeight="1" x14ac:dyDescent="0.25">
      <c r="A182" s="16"/>
      <c r="B182" s="391">
        <f>'W-Dem'!B242</f>
        <v>0</v>
      </c>
      <c r="C182" s="391">
        <f>'W-Dem'!C242</f>
        <v>99999999</v>
      </c>
      <c r="D182" s="131"/>
      <c r="E182" s="20">
        <f>'W-Dem'!E242*1000000/1000*Sum!E302*'W-Rev'!$D$247</f>
        <v>0</v>
      </c>
      <c r="F182" s="20">
        <f>'W-Dem'!F242*1000000/1000*Sum!F302*'W-Rev'!$D$247</f>
        <v>0</v>
      </c>
      <c r="G182" s="392">
        <f>'W-Dem'!G242*1000000/1000*Sum!G302*'W-Rev'!$D$247</f>
        <v>0</v>
      </c>
      <c r="H182" s="393">
        <f>'W-Dem'!H242*1000000/1000*Sum!H302*'W-Rev'!$D$247</f>
        <v>0</v>
      </c>
      <c r="I182" s="393">
        <f>'W-Dem'!I242*1000000/1000*Sum!I302*'W-Rev'!$D$247</f>
        <v>0</v>
      </c>
      <c r="J182" s="393">
        <f>'W-Dem'!J242*1000000/1000*Sum!J302*'W-Rev'!$D$247</f>
        <v>0</v>
      </c>
      <c r="K182" s="393">
        <f>'W-Dem'!K242*1000000/1000*Sum!K302*'W-Rev'!$D$247</f>
        <v>0</v>
      </c>
      <c r="L182" s="393">
        <f>'W-Dem'!L242*1000000/1000*Sum!L302*'W-Rev'!$D$247</f>
        <v>0</v>
      </c>
      <c r="M182" s="393">
        <f>'W-Dem'!M242*1000000/1000*Sum!M302*'W-Rev'!$D$247</f>
        <v>0</v>
      </c>
      <c r="N182" s="393">
        <f>'W-Dem'!N242*1000000/1000*Sum!N302*'W-Rev'!$D$247</f>
        <v>0</v>
      </c>
      <c r="O182" s="393">
        <f>'W-Dem'!O242*1000000/1000*Sum!O302*'W-Rev'!$D$247</f>
        <v>0</v>
      </c>
      <c r="P182" s="393">
        <f>'W-Dem'!P242*1000000/1000*Sum!P302*'W-Rev'!$D$247</f>
        <v>0</v>
      </c>
    </row>
    <row r="183" spans="1:16" s="3" customFormat="1" ht="12.75" customHeight="1" x14ac:dyDescent="0.25">
      <c r="A183" s="16"/>
      <c r="B183" s="391">
        <f>'W-Dem'!B243</f>
        <v>0</v>
      </c>
      <c r="C183" s="391">
        <f>'W-Dem'!C243</f>
        <v>0</v>
      </c>
      <c r="D183" s="131"/>
      <c r="E183" s="20">
        <f>'W-Dem'!E243*1000000/1000*Sum!E303*'W-Rev'!$D$247</f>
        <v>0</v>
      </c>
      <c r="F183" s="20">
        <f>'W-Dem'!F243*1000000/1000*Sum!F303*'W-Rev'!$D$247</f>
        <v>0</v>
      </c>
      <c r="G183" s="392">
        <f>'W-Dem'!G243*1000000/1000*Sum!G303*'W-Rev'!$D$247</f>
        <v>0</v>
      </c>
      <c r="H183" s="393">
        <f>'W-Dem'!H243*1000000/1000*Sum!H303*'W-Rev'!$D$247</f>
        <v>0</v>
      </c>
      <c r="I183" s="393">
        <f>'W-Dem'!I243*1000000/1000*Sum!I303*'W-Rev'!$D$247</f>
        <v>0</v>
      </c>
      <c r="J183" s="393">
        <f>'W-Dem'!J243*1000000/1000*Sum!J303*'W-Rev'!$D$247</f>
        <v>0</v>
      </c>
      <c r="K183" s="393">
        <f>'W-Dem'!K243*1000000/1000*Sum!K303*'W-Rev'!$D$247</f>
        <v>0</v>
      </c>
      <c r="L183" s="393">
        <f>'W-Dem'!L243*1000000/1000*Sum!L303*'W-Rev'!$D$247</f>
        <v>0</v>
      </c>
      <c r="M183" s="393">
        <f>'W-Dem'!M243*1000000/1000*Sum!M303*'W-Rev'!$D$247</f>
        <v>0</v>
      </c>
      <c r="N183" s="393">
        <f>'W-Dem'!N243*1000000/1000*Sum!N303*'W-Rev'!$D$247</f>
        <v>0</v>
      </c>
      <c r="O183" s="393">
        <f>'W-Dem'!O243*1000000/1000*Sum!O303*'W-Rev'!$D$247</f>
        <v>0</v>
      </c>
      <c r="P183" s="393">
        <f>'W-Dem'!P243*1000000/1000*Sum!P303*'W-Rev'!$D$247</f>
        <v>0</v>
      </c>
    </row>
    <row r="184" spans="1:16" s="3" customFormat="1" ht="12.75" customHeight="1" x14ac:dyDescent="0.25">
      <c r="A184" s="16"/>
      <c r="B184" s="391">
        <f>'W-Dem'!B244</f>
        <v>0</v>
      </c>
      <c r="C184" s="391">
        <f>'W-Dem'!C244</f>
        <v>0</v>
      </c>
      <c r="D184" s="131"/>
      <c r="E184" s="20">
        <f>'W-Dem'!E244*1000000/1000*Sum!E304*'W-Rev'!$D$247</f>
        <v>0</v>
      </c>
      <c r="F184" s="20">
        <f>'W-Dem'!F244*1000000/1000*Sum!F304*'W-Rev'!$D$247</f>
        <v>0</v>
      </c>
      <c r="G184" s="392">
        <f>'W-Dem'!G244*1000000/1000*Sum!G304*'W-Rev'!$D$247</f>
        <v>0</v>
      </c>
      <c r="H184" s="393">
        <f>'W-Dem'!H244*1000000/1000*Sum!H304*'W-Rev'!$D$247</f>
        <v>0</v>
      </c>
      <c r="I184" s="393">
        <f>'W-Dem'!I244*1000000/1000*Sum!I304*'W-Rev'!$D$247</f>
        <v>0</v>
      </c>
      <c r="J184" s="393">
        <f>'W-Dem'!J244*1000000/1000*Sum!J304*'W-Rev'!$D$247</f>
        <v>0</v>
      </c>
      <c r="K184" s="393">
        <f>'W-Dem'!K244*1000000/1000*Sum!K304*'W-Rev'!$D$247</f>
        <v>0</v>
      </c>
      <c r="L184" s="393">
        <f>'W-Dem'!L244*1000000/1000*Sum!L304*'W-Rev'!$D$247</f>
        <v>0</v>
      </c>
      <c r="M184" s="393">
        <f>'W-Dem'!M244*1000000/1000*Sum!M304*'W-Rev'!$D$247</f>
        <v>0</v>
      </c>
      <c r="N184" s="393">
        <f>'W-Dem'!N244*1000000/1000*Sum!N304*'W-Rev'!$D$247</f>
        <v>0</v>
      </c>
      <c r="O184" s="393">
        <f>'W-Dem'!O244*1000000/1000*Sum!O304*'W-Rev'!$D$247</f>
        <v>0</v>
      </c>
      <c r="P184" s="393">
        <f>'W-Dem'!P244*1000000/1000*Sum!P304*'W-Rev'!$D$247</f>
        <v>0</v>
      </c>
    </row>
    <row r="185" spans="1:16" s="3" customFormat="1" ht="12.75" customHeight="1" x14ac:dyDescent="0.25">
      <c r="A185" s="16"/>
      <c r="B185" s="391">
        <f>'W-Dem'!B245</f>
        <v>0</v>
      </c>
      <c r="C185" s="391">
        <f>'W-Dem'!C245</f>
        <v>0</v>
      </c>
      <c r="D185" s="131"/>
      <c r="E185" s="20">
        <f>'W-Dem'!E245*1000000/1000*Sum!E305*'W-Rev'!$D$247</f>
        <v>0</v>
      </c>
      <c r="F185" s="20">
        <f>'W-Dem'!F245*1000000/1000*Sum!F305*'W-Rev'!$D$247</f>
        <v>0</v>
      </c>
      <c r="G185" s="392">
        <f>'W-Dem'!G245*1000000/1000*Sum!G305*'W-Rev'!$D$247</f>
        <v>0</v>
      </c>
      <c r="H185" s="393">
        <f>'W-Dem'!H245*1000000/1000*Sum!H305*'W-Rev'!$D$247</f>
        <v>0</v>
      </c>
      <c r="I185" s="393">
        <f>'W-Dem'!I245*1000000/1000*Sum!I305*'W-Rev'!$D$247</f>
        <v>0</v>
      </c>
      <c r="J185" s="393">
        <f>'W-Dem'!J245*1000000/1000*Sum!J305*'W-Rev'!$D$247</f>
        <v>0</v>
      </c>
      <c r="K185" s="393">
        <f>'W-Dem'!K245*1000000/1000*Sum!K305*'W-Rev'!$D$247</f>
        <v>0</v>
      </c>
      <c r="L185" s="393">
        <f>'W-Dem'!L245*1000000/1000*Sum!L305*'W-Rev'!$D$247</f>
        <v>0</v>
      </c>
      <c r="M185" s="393">
        <f>'W-Dem'!M245*1000000/1000*Sum!M305*'W-Rev'!$D$247</f>
        <v>0</v>
      </c>
      <c r="N185" s="393">
        <f>'W-Dem'!N245*1000000/1000*Sum!N305*'W-Rev'!$D$247</f>
        <v>0</v>
      </c>
      <c r="O185" s="393">
        <f>'W-Dem'!O245*1000000/1000*Sum!O305*'W-Rev'!$D$247</f>
        <v>0</v>
      </c>
      <c r="P185" s="393">
        <f>'W-Dem'!P245*1000000/1000*Sum!P305*'W-Rev'!$D$247</f>
        <v>0</v>
      </c>
    </row>
    <row r="186" spans="1:16" s="3" customFormat="1" ht="12.75" customHeight="1" x14ac:dyDescent="0.25">
      <c r="A186" s="16"/>
      <c r="B186" s="391">
        <f>'W-Dem'!B246</f>
        <v>0</v>
      </c>
      <c r="C186" s="391">
        <f>'W-Dem'!C246</f>
        <v>0</v>
      </c>
      <c r="D186" s="131"/>
      <c r="E186" s="20">
        <f>'W-Dem'!E246*1000000/1000*Sum!E306*'W-Rev'!$D$247</f>
        <v>0</v>
      </c>
      <c r="F186" s="20">
        <f>'W-Dem'!F246*1000000/1000*Sum!F306*'W-Rev'!$D$247</f>
        <v>0</v>
      </c>
      <c r="G186" s="392">
        <f>'W-Dem'!G246*1000000/1000*Sum!G306*'W-Rev'!$D$247</f>
        <v>0</v>
      </c>
      <c r="H186" s="393">
        <f>'W-Dem'!H246*1000000/1000*Sum!H306*'W-Rev'!$D$247</f>
        <v>0</v>
      </c>
      <c r="I186" s="393">
        <f>'W-Dem'!I246*1000000/1000*Sum!I306*'W-Rev'!$D$247</f>
        <v>0</v>
      </c>
      <c r="J186" s="393">
        <f>'W-Dem'!J246*1000000/1000*Sum!J306*'W-Rev'!$D$247</f>
        <v>0</v>
      </c>
      <c r="K186" s="393">
        <f>'W-Dem'!K246*1000000/1000*Sum!K306*'W-Rev'!$D$247</f>
        <v>0</v>
      </c>
      <c r="L186" s="393">
        <f>'W-Dem'!L246*1000000/1000*Sum!L306*'W-Rev'!$D$247</f>
        <v>0</v>
      </c>
      <c r="M186" s="393">
        <f>'W-Dem'!M246*1000000/1000*Sum!M306*'W-Rev'!$D$247</f>
        <v>0</v>
      </c>
      <c r="N186" s="393">
        <f>'W-Dem'!N246*1000000/1000*Sum!N306*'W-Rev'!$D$247</f>
        <v>0</v>
      </c>
      <c r="O186" s="393">
        <f>'W-Dem'!O246*1000000/1000*Sum!O306*'W-Rev'!$D$247</f>
        <v>0</v>
      </c>
      <c r="P186" s="393">
        <f>'W-Dem'!P246*1000000/1000*Sum!P306*'W-Rev'!$D$247</f>
        <v>0</v>
      </c>
    </row>
    <row r="187" spans="1:16" s="3" customFormat="1" ht="12.75" customHeight="1" x14ac:dyDescent="0.25">
      <c r="A187" s="16"/>
      <c r="B187" s="394">
        <f>'W-Dem'!B247</f>
        <v>0</v>
      </c>
      <c r="C187" s="394">
        <f>'W-Dem'!C247</f>
        <v>0</v>
      </c>
      <c r="D187" s="395"/>
      <c r="E187" s="76">
        <f>'W-Dem'!E247*1000000/1000*Sum!E307*'W-Rev'!$D$247</f>
        <v>0</v>
      </c>
      <c r="F187" s="76">
        <f>'W-Dem'!F247*1000000/1000*Sum!F307*'W-Rev'!$D$247</f>
        <v>0</v>
      </c>
      <c r="G187" s="397">
        <f>'W-Dem'!G247*1000000/1000*Sum!G307*'W-Rev'!$D$247</f>
        <v>0</v>
      </c>
      <c r="H187" s="398">
        <f>'W-Dem'!H247*1000000/1000*Sum!H307*'W-Rev'!$D$247</f>
        <v>0</v>
      </c>
      <c r="I187" s="398">
        <f>'W-Dem'!I247*1000000/1000*Sum!I307*'W-Rev'!$D$247</f>
        <v>0</v>
      </c>
      <c r="J187" s="398">
        <f>'W-Dem'!J247*1000000/1000*Sum!J307*'W-Rev'!$D$247</f>
        <v>0</v>
      </c>
      <c r="K187" s="398">
        <f>'W-Dem'!K247*1000000/1000*Sum!K307*'W-Rev'!$D$247</f>
        <v>0</v>
      </c>
      <c r="L187" s="398">
        <f>'W-Dem'!L247*1000000/1000*Sum!L307*'W-Rev'!$D$247</f>
        <v>0</v>
      </c>
      <c r="M187" s="398">
        <f>'W-Dem'!M247*1000000/1000*Sum!M307*'W-Rev'!$D$247</f>
        <v>0</v>
      </c>
      <c r="N187" s="398">
        <f>'W-Dem'!N247*1000000/1000*Sum!N307*'W-Rev'!$D$247</f>
        <v>0</v>
      </c>
      <c r="O187" s="398">
        <f>'W-Dem'!O247*1000000/1000*Sum!O307*'W-Rev'!$D$247</f>
        <v>0</v>
      </c>
      <c r="P187" s="398">
        <f>'W-Dem'!P247*1000000/1000*Sum!P307*'W-Rev'!$D$247</f>
        <v>0</v>
      </c>
    </row>
    <row r="188" spans="1:16" s="3" customFormat="1" ht="12.75" customHeight="1" x14ac:dyDescent="0.25">
      <c r="A188" s="16"/>
      <c r="B188" s="391"/>
      <c r="C188" s="391" t="s">
        <v>219</v>
      </c>
      <c r="D188" s="131"/>
      <c r="E188" s="20">
        <f t="shared" ref="E188:I188" si="53">SUM(E182:E187)</f>
        <v>0</v>
      </c>
      <c r="F188" s="20">
        <f t="shared" si="53"/>
        <v>0</v>
      </c>
      <c r="G188" s="392">
        <f t="shared" si="53"/>
        <v>0</v>
      </c>
      <c r="H188" s="393">
        <f t="shared" si="53"/>
        <v>0</v>
      </c>
      <c r="I188" s="393">
        <f t="shared" si="53"/>
        <v>0</v>
      </c>
      <c r="J188" s="393">
        <f t="shared" ref="J188:P188" si="54">SUM(J182:J187)</f>
        <v>0</v>
      </c>
      <c r="K188" s="393">
        <f t="shared" si="54"/>
        <v>0</v>
      </c>
      <c r="L188" s="393">
        <f t="shared" si="54"/>
        <v>0</v>
      </c>
      <c r="M188" s="393">
        <f t="shared" si="54"/>
        <v>0</v>
      </c>
      <c r="N188" s="393">
        <f t="shared" si="54"/>
        <v>0</v>
      </c>
      <c r="O188" s="393">
        <f t="shared" si="54"/>
        <v>0</v>
      </c>
      <c r="P188" s="393">
        <f t="shared" si="54"/>
        <v>0</v>
      </c>
    </row>
    <row r="189" spans="1:16" s="3" customFormat="1" ht="12.75" customHeight="1" x14ac:dyDescent="0.25">
      <c r="A189" s="16"/>
      <c r="B189" s="88"/>
      <c r="C189" s="88"/>
      <c r="D189" s="97"/>
      <c r="E189" s="36"/>
      <c r="F189" s="13"/>
      <c r="G189" s="179"/>
      <c r="H189" s="36"/>
      <c r="I189" s="36"/>
      <c r="J189" s="36"/>
      <c r="K189" s="36"/>
      <c r="L189" s="36"/>
      <c r="M189" s="36"/>
      <c r="N189" s="36"/>
      <c r="O189" s="36"/>
      <c r="P189" s="36"/>
    </row>
    <row r="190" spans="1:16" s="3" customFormat="1" ht="12.75" customHeight="1" x14ac:dyDescent="0.25">
      <c r="A190" s="29" t="s">
        <v>297</v>
      </c>
      <c r="B190" s="310"/>
      <c r="C190" s="311"/>
      <c r="D190" s="90"/>
      <c r="E190" s="36"/>
      <c r="F190" s="13"/>
      <c r="G190" s="179"/>
      <c r="H190" s="36"/>
      <c r="I190" s="36"/>
      <c r="J190" s="36"/>
      <c r="K190" s="36"/>
      <c r="L190" s="36"/>
      <c r="M190" s="36"/>
      <c r="N190" s="36"/>
      <c r="O190" s="36"/>
      <c r="P190" s="36"/>
    </row>
    <row r="191" spans="1:16" s="3" customFormat="1" ht="12.75" customHeight="1" x14ac:dyDescent="0.25">
      <c r="A191" s="16"/>
      <c r="B191" s="88">
        <f>'W-Dem'!B251</f>
        <v>0</v>
      </c>
      <c r="C191" s="88">
        <f>'W-Dem'!C251</f>
        <v>99999999</v>
      </c>
      <c r="D191" s="97"/>
      <c r="E191" s="13">
        <f>'W-Dem'!E251*1000000/1000*Sum!E310*'W-Rev'!$D$247</f>
        <v>0</v>
      </c>
      <c r="F191" s="13">
        <f>'W-Dem'!F251*1000000/1000*Sum!F310*'W-Rev'!$D$247</f>
        <v>0</v>
      </c>
      <c r="G191" s="289">
        <f>'W-Dem'!G251*1000000/1000*Sum!G310*'W-Rev'!$D$247</f>
        <v>0</v>
      </c>
      <c r="H191" s="290">
        <f>'W-Dem'!H251*1000000/1000*Sum!H310*'W-Rev'!$D$247</f>
        <v>0</v>
      </c>
      <c r="I191" s="290">
        <f>'W-Dem'!I251*1000000/1000*Sum!I310*'W-Rev'!$D$247</f>
        <v>0</v>
      </c>
      <c r="J191" s="290">
        <f>'W-Dem'!J251*1000000/1000*Sum!J310*'W-Rev'!$D$247</f>
        <v>0</v>
      </c>
      <c r="K191" s="290">
        <f>'W-Dem'!K251*1000000/1000*Sum!K310*'W-Rev'!$D$247</f>
        <v>0</v>
      </c>
      <c r="L191" s="290">
        <f>'W-Dem'!L251*1000000/1000*Sum!L310*'W-Rev'!$D$247</f>
        <v>0</v>
      </c>
      <c r="M191" s="290">
        <f>'W-Dem'!M251*1000000/1000*Sum!M310*'W-Rev'!$D$247</f>
        <v>0</v>
      </c>
      <c r="N191" s="290">
        <f>'W-Dem'!N251*1000000/1000*Sum!N310*'W-Rev'!$D$247</f>
        <v>0</v>
      </c>
      <c r="O191" s="290">
        <f>'W-Dem'!O251*1000000/1000*Sum!O310*'W-Rev'!$D$247</f>
        <v>0</v>
      </c>
      <c r="P191" s="290">
        <f>'W-Dem'!P251*1000000/1000*Sum!P310*'W-Rev'!$D$247</f>
        <v>0</v>
      </c>
    </row>
    <row r="192" spans="1:16" s="3" customFormat="1" ht="12.75" customHeight="1" x14ac:dyDescent="0.25">
      <c r="A192" s="16"/>
      <c r="B192" s="88">
        <f>'W-Dem'!B252</f>
        <v>0</v>
      </c>
      <c r="C192" s="88">
        <f>'W-Dem'!C252</f>
        <v>0</v>
      </c>
      <c r="D192" s="97"/>
      <c r="E192" s="13">
        <f>'W-Dem'!E252*1000000/1000*Sum!E311*'W-Rev'!$D$247</f>
        <v>0</v>
      </c>
      <c r="F192" s="13">
        <f>'W-Dem'!F252*1000000/1000*Sum!F311*'W-Rev'!$D$247</f>
        <v>0</v>
      </c>
      <c r="G192" s="289">
        <f>'W-Dem'!G252*1000000/1000*Sum!G311*'W-Rev'!$D$247</f>
        <v>0</v>
      </c>
      <c r="H192" s="290">
        <f>'W-Dem'!H252*1000000/1000*Sum!H311*'W-Rev'!$D$247</f>
        <v>0</v>
      </c>
      <c r="I192" s="290">
        <f>'W-Dem'!I252*1000000/1000*Sum!I311*'W-Rev'!$D$247</f>
        <v>0</v>
      </c>
      <c r="J192" s="290">
        <f>'W-Dem'!J252*1000000/1000*Sum!J311*'W-Rev'!$D$247</f>
        <v>0</v>
      </c>
      <c r="K192" s="290">
        <f>'W-Dem'!K252*1000000/1000*Sum!K311*'W-Rev'!$D$247</f>
        <v>0</v>
      </c>
      <c r="L192" s="290">
        <f>'W-Dem'!L252*1000000/1000*Sum!L311*'W-Rev'!$D$247</f>
        <v>0</v>
      </c>
      <c r="M192" s="290">
        <f>'W-Dem'!M252*1000000/1000*Sum!M311*'W-Rev'!$D$247</f>
        <v>0</v>
      </c>
      <c r="N192" s="290">
        <f>'W-Dem'!N252*1000000/1000*Sum!N311*'W-Rev'!$D$247</f>
        <v>0</v>
      </c>
      <c r="O192" s="290">
        <f>'W-Dem'!O252*1000000/1000*Sum!O311*'W-Rev'!$D$247</f>
        <v>0</v>
      </c>
      <c r="P192" s="290">
        <f>'W-Dem'!P252*1000000/1000*Sum!P311*'W-Rev'!$D$247</f>
        <v>0</v>
      </c>
    </row>
    <row r="193" spans="1:16" s="3" customFormat="1" ht="12.75" customHeight="1" x14ac:dyDescent="0.25">
      <c r="A193" s="16"/>
      <c r="B193" s="88">
        <f>'W-Dem'!B253</f>
        <v>0</v>
      </c>
      <c r="C193" s="88">
        <f>'W-Dem'!C253</f>
        <v>0</v>
      </c>
      <c r="D193" s="97"/>
      <c r="E193" s="13">
        <f>'W-Dem'!E253*1000000/1000*Sum!E312*'W-Rev'!$D$247</f>
        <v>0</v>
      </c>
      <c r="F193" s="13">
        <f>'W-Dem'!F253*1000000/1000*Sum!F312*'W-Rev'!$D$247</f>
        <v>0</v>
      </c>
      <c r="G193" s="289">
        <f>'W-Dem'!G253*1000000/1000*Sum!G312*'W-Rev'!$D$247</f>
        <v>0</v>
      </c>
      <c r="H193" s="290">
        <f>'W-Dem'!H253*1000000/1000*Sum!H312*'W-Rev'!$D$247</f>
        <v>0</v>
      </c>
      <c r="I193" s="290">
        <f>'W-Dem'!I253*1000000/1000*Sum!I312*'W-Rev'!$D$247</f>
        <v>0</v>
      </c>
      <c r="J193" s="290">
        <f>'W-Dem'!J253*1000000/1000*Sum!J312*'W-Rev'!$D$247</f>
        <v>0</v>
      </c>
      <c r="K193" s="290">
        <f>'W-Dem'!K253*1000000/1000*Sum!K312*'W-Rev'!$D$247</f>
        <v>0</v>
      </c>
      <c r="L193" s="290">
        <f>'W-Dem'!L253*1000000/1000*Sum!L312*'W-Rev'!$D$247</f>
        <v>0</v>
      </c>
      <c r="M193" s="290">
        <f>'W-Dem'!M253*1000000/1000*Sum!M312*'W-Rev'!$D$247</f>
        <v>0</v>
      </c>
      <c r="N193" s="290">
        <f>'W-Dem'!N253*1000000/1000*Sum!N312*'W-Rev'!$D$247</f>
        <v>0</v>
      </c>
      <c r="O193" s="290">
        <f>'W-Dem'!O253*1000000/1000*Sum!O312*'W-Rev'!$D$247</f>
        <v>0</v>
      </c>
      <c r="P193" s="290">
        <f>'W-Dem'!P253*1000000/1000*Sum!P312*'W-Rev'!$D$247</f>
        <v>0</v>
      </c>
    </row>
    <row r="194" spans="1:16" s="3" customFormat="1" ht="12.75" customHeight="1" x14ac:dyDescent="0.25">
      <c r="A194" s="16"/>
      <c r="B194" s="88">
        <f>'W-Dem'!B254</f>
        <v>0</v>
      </c>
      <c r="C194" s="88">
        <f>'W-Dem'!C254</f>
        <v>0</v>
      </c>
      <c r="D194" s="97"/>
      <c r="E194" s="13">
        <f>'W-Dem'!E254*1000000/1000*Sum!E313*'W-Rev'!$D$247</f>
        <v>0</v>
      </c>
      <c r="F194" s="13">
        <f>'W-Dem'!F254*1000000/1000*Sum!F313*'W-Rev'!$D$247</f>
        <v>0</v>
      </c>
      <c r="G194" s="289">
        <f>'W-Dem'!G254*1000000/1000*Sum!G313*'W-Rev'!$D$247</f>
        <v>0</v>
      </c>
      <c r="H194" s="290">
        <f>'W-Dem'!H254*1000000/1000*Sum!H313*'W-Rev'!$D$247</f>
        <v>0</v>
      </c>
      <c r="I194" s="290">
        <f>'W-Dem'!I254*1000000/1000*Sum!I313*'W-Rev'!$D$247</f>
        <v>0</v>
      </c>
      <c r="J194" s="290">
        <f>'W-Dem'!J254*1000000/1000*Sum!J313*'W-Rev'!$D$247</f>
        <v>0</v>
      </c>
      <c r="K194" s="290">
        <f>'W-Dem'!K254*1000000/1000*Sum!K313*'W-Rev'!$D$247</f>
        <v>0</v>
      </c>
      <c r="L194" s="290">
        <f>'W-Dem'!L254*1000000/1000*Sum!L313*'W-Rev'!$D$247</f>
        <v>0</v>
      </c>
      <c r="M194" s="290">
        <f>'W-Dem'!M254*1000000/1000*Sum!M313*'W-Rev'!$D$247</f>
        <v>0</v>
      </c>
      <c r="N194" s="290">
        <f>'W-Dem'!N254*1000000/1000*Sum!N313*'W-Rev'!$D$247</f>
        <v>0</v>
      </c>
      <c r="O194" s="290">
        <f>'W-Dem'!O254*1000000/1000*Sum!O313*'W-Rev'!$D$247</f>
        <v>0</v>
      </c>
      <c r="P194" s="290">
        <f>'W-Dem'!P254*1000000/1000*Sum!P313*'W-Rev'!$D$247</f>
        <v>0</v>
      </c>
    </row>
    <row r="195" spans="1:16" s="3" customFormat="1" ht="12.75" customHeight="1" x14ac:dyDescent="0.25">
      <c r="A195" s="16"/>
      <c r="B195" s="88">
        <f>'W-Dem'!B255</f>
        <v>0</v>
      </c>
      <c r="C195" s="88">
        <f>'W-Dem'!C255</f>
        <v>0</v>
      </c>
      <c r="D195" s="97"/>
      <c r="E195" s="13">
        <f>'W-Dem'!E255*1000000/1000*Sum!E314*'W-Rev'!$D$247</f>
        <v>0</v>
      </c>
      <c r="F195" s="13">
        <f>'W-Dem'!F255*1000000/1000*Sum!F314*'W-Rev'!$D$247</f>
        <v>0</v>
      </c>
      <c r="G195" s="289">
        <f>'W-Dem'!G255*1000000/1000*Sum!G314*'W-Rev'!$D$247</f>
        <v>0</v>
      </c>
      <c r="H195" s="290">
        <f>'W-Dem'!H255*1000000/1000*Sum!H314*'W-Rev'!$D$247</f>
        <v>0</v>
      </c>
      <c r="I195" s="290">
        <f>'W-Dem'!I255*1000000/1000*Sum!I314*'W-Rev'!$D$247</f>
        <v>0</v>
      </c>
      <c r="J195" s="290">
        <f>'W-Dem'!J255*1000000/1000*Sum!J314*'W-Rev'!$D$247</f>
        <v>0</v>
      </c>
      <c r="K195" s="290">
        <f>'W-Dem'!K255*1000000/1000*Sum!K314*'W-Rev'!$D$247</f>
        <v>0</v>
      </c>
      <c r="L195" s="290">
        <f>'W-Dem'!L255*1000000/1000*Sum!L314*'W-Rev'!$D$247</f>
        <v>0</v>
      </c>
      <c r="M195" s="290">
        <f>'W-Dem'!M255*1000000/1000*Sum!M314*'W-Rev'!$D$247</f>
        <v>0</v>
      </c>
      <c r="N195" s="290">
        <f>'W-Dem'!N255*1000000/1000*Sum!N314*'W-Rev'!$D$247</f>
        <v>0</v>
      </c>
      <c r="O195" s="290">
        <f>'W-Dem'!O255*1000000/1000*Sum!O314*'W-Rev'!$D$247</f>
        <v>0</v>
      </c>
      <c r="P195" s="290">
        <f>'W-Dem'!P255*1000000/1000*Sum!P314*'W-Rev'!$D$247</f>
        <v>0</v>
      </c>
    </row>
    <row r="196" spans="1:16" s="3" customFormat="1" ht="12.75" customHeight="1" x14ac:dyDescent="0.25">
      <c r="A196" s="16"/>
      <c r="B196" s="89">
        <f>'W-Dem'!B256</f>
        <v>0</v>
      </c>
      <c r="C196" s="89">
        <f>'W-Dem'!C256</f>
        <v>0</v>
      </c>
      <c r="D196" s="291"/>
      <c r="E196" s="30">
        <f>'W-Dem'!E256*1000000/1000*Sum!E315*'W-Rev'!$D$247</f>
        <v>0</v>
      </c>
      <c r="F196" s="30">
        <f>'W-Dem'!F256*1000000/1000*Sum!F315*'W-Rev'!$D$247</f>
        <v>0</v>
      </c>
      <c r="G196" s="293">
        <f>'W-Dem'!G256*1000000/1000*Sum!G315*'W-Rev'!$D$247</f>
        <v>0</v>
      </c>
      <c r="H196" s="294">
        <f>'W-Dem'!H256*1000000/1000*Sum!H315*'W-Rev'!$D$247</f>
        <v>0</v>
      </c>
      <c r="I196" s="294">
        <f>'W-Dem'!I256*1000000/1000*Sum!I315*'W-Rev'!$D$247</f>
        <v>0</v>
      </c>
      <c r="J196" s="294">
        <f>'W-Dem'!J256*1000000/1000*Sum!J315*'W-Rev'!$D$247</f>
        <v>0</v>
      </c>
      <c r="K196" s="294">
        <f>'W-Dem'!K256*1000000/1000*Sum!K315*'W-Rev'!$D$247</f>
        <v>0</v>
      </c>
      <c r="L196" s="294">
        <f>'W-Dem'!L256*1000000/1000*Sum!L315*'W-Rev'!$D$247</f>
        <v>0</v>
      </c>
      <c r="M196" s="294">
        <f>'W-Dem'!M256*1000000/1000*Sum!M315*'W-Rev'!$D$247</f>
        <v>0</v>
      </c>
      <c r="N196" s="294">
        <f>'W-Dem'!N256*1000000/1000*Sum!N315*'W-Rev'!$D$247</f>
        <v>0</v>
      </c>
      <c r="O196" s="294">
        <f>'W-Dem'!O256*1000000/1000*Sum!O315*'W-Rev'!$D$247</f>
        <v>0</v>
      </c>
      <c r="P196" s="294">
        <f>'W-Dem'!P256*1000000/1000*Sum!P315*'W-Rev'!$D$247</f>
        <v>0</v>
      </c>
    </row>
    <row r="197" spans="1:16" s="3" customFormat="1" ht="12.75" customHeight="1" x14ac:dyDescent="0.25">
      <c r="A197" s="16"/>
      <c r="B197" s="88"/>
      <c r="C197" s="88" t="s">
        <v>219</v>
      </c>
      <c r="D197" s="97"/>
      <c r="E197" s="20">
        <f t="shared" ref="E197:I197" si="55">SUM(E191:E196)</f>
        <v>0</v>
      </c>
      <c r="F197" s="20">
        <f t="shared" si="55"/>
        <v>0</v>
      </c>
      <c r="G197" s="289">
        <f t="shared" si="55"/>
        <v>0</v>
      </c>
      <c r="H197" s="290">
        <f t="shared" si="55"/>
        <v>0</v>
      </c>
      <c r="I197" s="290">
        <f t="shared" si="55"/>
        <v>0</v>
      </c>
      <c r="J197" s="290">
        <f t="shared" ref="J197:P197" si="56">SUM(J191:J196)</f>
        <v>0</v>
      </c>
      <c r="K197" s="290">
        <f t="shared" si="56"/>
        <v>0</v>
      </c>
      <c r="L197" s="290">
        <f t="shared" si="56"/>
        <v>0</v>
      </c>
      <c r="M197" s="290">
        <f t="shared" si="56"/>
        <v>0</v>
      </c>
      <c r="N197" s="290">
        <f t="shared" si="56"/>
        <v>0</v>
      </c>
      <c r="O197" s="290">
        <f t="shared" si="56"/>
        <v>0</v>
      </c>
      <c r="P197" s="290">
        <f t="shared" si="56"/>
        <v>0</v>
      </c>
    </row>
    <row r="198" spans="1:16" s="3" customFormat="1" ht="12.75" customHeight="1" thickBot="1" x14ac:dyDescent="0.3">
      <c r="B198" s="312"/>
      <c r="C198" s="313"/>
      <c r="D198" s="98"/>
      <c r="E198" s="33"/>
      <c r="F198" s="33"/>
      <c r="G198" s="296"/>
      <c r="H198" s="297"/>
      <c r="I198" s="297"/>
      <c r="J198" s="297"/>
      <c r="K198" s="297"/>
      <c r="L198" s="297"/>
      <c r="M198" s="297"/>
      <c r="N198" s="297"/>
      <c r="O198" s="297"/>
      <c r="P198" s="297"/>
    </row>
    <row r="199" spans="1:16" s="3" customFormat="1" ht="12.75" customHeight="1" thickTop="1" x14ac:dyDescent="0.25">
      <c r="A199" s="77" t="s">
        <v>179</v>
      </c>
      <c r="B199" s="88"/>
      <c r="C199" s="88"/>
      <c r="D199" s="97"/>
      <c r="E199" s="13">
        <f t="shared" ref="E199:F199" si="57">SUM(E170,E179,E188,E197)</f>
        <v>888444.54854999995</v>
      </c>
      <c r="F199" s="13">
        <f t="shared" si="57"/>
        <v>888444.54854999995</v>
      </c>
      <c r="G199" s="289">
        <f t="shared" ref="G199:I199" si="58">SUM(G170,G179,G188,G197)</f>
        <v>1557739.4417909998</v>
      </c>
      <c r="H199" s="290">
        <f t="shared" si="58"/>
        <v>1711736.4968729997</v>
      </c>
      <c r="I199" s="290">
        <f t="shared" si="58"/>
        <v>1765043.1697859997</v>
      </c>
      <c r="J199" s="290">
        <f t="shared" ref="J199:P199" si="59">SUM(J170,J179,J188,J197)</f>
        <v>1818349.8426989997</v>
      </c>
      <c r="K199" s="290">
        <f t="shared" si="59"/>
        <v>1871656.5156119997</v>
      </c>
      <c r="L199" s="290">
        <f t="shared" si="59"/>
        <v>1924963.1885249997</v>
      </c>
      <c r="M199" s="290">
        <f t="shared" si="59"/>
        <v>1984192.8250949997</v>
      </c>
      <c r="N199" s="290">
        <f t="shared" si="59"/>
        <v>2043422.4616649998</v>
      </c>
      <c r="O199" s="290">
        <f t="shared" si="59"/>
        <v>2102652.0982349999</v>
      </c>
      <c r="P199" s="290">
        <f t="shared" si="59"/>
        <v>2167804.6984619997</v>
      </c>
    </row>
    <row r="200" spans="1:16" s="3" customFormat="1" ht="12.75" customHeight="1" x14ac:dyDescent="0.25">
      <c r="A200" s="16"/>
      <c r="B200" s="88"/>
      <c r="C200" s="88"/>
      <c r="D200" s="97"/>
      <c r="E200" s="36"/>
      <c r="F200" s="13"/>
      <c r="G200" s="289"/>
      <c r="H200" s="290"/>
      <c r="I200" s="290"/>
      <c r="J200" s="290"/>
      <c r="K200" s="290"/>
      <c r="L200" s="290"/>
      <c r="M200" s="290"/>
      <c r="N200" s="290"/>
      <c r="O200" s="290"/>
      <c r="P200" s="290"/>
    </row>
    <row r="201" spans="1:16" s="3" customFormat="1" ht="12.75" customHeight="1" x14ac:dyDescent="0.25">
      <c r="A201" s="77" t="s">
        <v>261</v>
      </c>
      <c r="B201" s="88"/>
      <c r="C201" s="88"/>
      <c r="D201" s="97"/>
      <c r="E201" s="36"/>
      <c r="F201" s="13"/>
      <c r="G201" s="289"/>
      <c r="H201" s="290"/>
      <c r="I201" s="290"/>
      <c r="J201" s="290"/>
      <c r="K201" s="290"/>
      <c r="L201" s="290"/>
      <c r="M201" s="290"/>
      <c r="N201" s="290"/>
      <c r="O201" s="290"/>
      <c r="P201" s="290"/>
    </row>
    <row r="202" spans="1:16" s="3" customFormat="1" ht="12.75" customHeight="1" x14ac:dyDescent="0.25">
      <c r="A202" s="84" t="s">
        <v>216</v>
      </c>
      <c r="B202" s="310"/>
      <c r="C202" s="311"/>
      <c r="D202" s="90"/>
      <c r="G202" s="153"/>
    </row>
    <row r="203" spans="1:16" s="3" customFormat="1" ht="12.75" customHeight="1" x14ac:dyDescent="0.25">
      <c r="A203" s="16"/>
      <c r="B203" s="88">
        <f>'W-Dem'!B263</f>
        <v>0</v>
      </c>
      <c r="C203" s="88">
        <f>'W-Dem'!C263</f>
        <v>3000</v>
      </c>
      <c r="D203" s="97"/>
      <c r="E203" s="13">
        <f>'W-Dem'!E263*1000000/1000*Sum!E319*'W-Rev'!$D$247</f>
        <v>56811.347999999991</v>
      </c>
      <c r="F203" s="13">
        <f>'W-Dem'!F263*1000000/1000*Sum!F319*'W-Rev'!$D$247</f>
        <v>62688.383999999998</v>
      </c>
      <c r="G203" s="289">
        <f>'W-Dem'!G263*1000000/1000*Sum!G319*'W-Rev'!$D$247</f>
        <v>109704.67199999999</v>
      </c>
      <c r="H203" s="290">
        <f>'W-Dem'!H263*1000000/1000*Sum!H319*'W-Rev'!$D$247</f>
        <v>120675.13920000001</v>
      </c>
      <c r="I203" s="290">
        <f>'W-Dem'!I263*1000000/1000*Sum!I319*'W-Rev'!$D$247</f>
        <v>124295.39337600001</v>
      </c>
      <c r="J203" s="290">
        <f>'W-Dem'!J263*1000000/1000*Sum!J319*'W-Rev'!$D$247</f>
        <v>128024.25517728002</v>
      </c>
      <c r="K203" s="290">
        <f>'W-Dem'!K263*1000000/1000*Sum!K319*'W-Rev'!$D$247</f>
        <v>131864.98283259844</v>
      </c>
      <c r="L203" s="290">
        <f>'W-Dem'!L263*1000000/1000*Sum!L319*'W-Rev'!$D$247</f>
        <v>135820.93231757637</v>
      </c>
      <c r="M203" s="290">
        <f>'W-Dem'!M263*1000000/1000*Sum!M319*'W-Rev'!$D$247</f>
        <v>139895.56028710367</v>
      </c>
      <c r="N203" s="290">
        <f>'W-Dem'!N263*1000000/1000*Sum!N319*'W-Rev'!$D$247</f>
        <v>144092.42709571676</v>
      </c>
      <c r="O203" s="290">
        <f>'W-Dem'!O263*1000000/1000*Sum!O319*'W-Rev'!$D$247</f>
        <v>148415.19990858826</v>
      </c>
      <c r="P203" s="290">
        <f>'W-Dem'!P263*1000000/1000*Sum!P319*'W-Rev'!$D$247</f>
        <v>152867.65590584592</v>
      </c>
    </row>
    <row r="204" spans="1:16" s="3" customFormat="1" ht="12.75" customHeight="1" x14ac:dyDescent="0.25">
      <c r="A204" s="16"/>
      <c r="B204" s="88">
        <f>'W-Dem'!B264</f>
        <v>0</v>
      </c>
      <c r="C204" s="88">
        <f>'W-Dem'!C264</f>
        <v>0</v>
      </c>
      <c r="D204" s="97"/>
      <c r="E204" s="13">
        <f>'W-Dem'!E264*1000000/1000*Sum!E320*'W-Rev'!$D$247</f>
        <v>0</v>
      </c>
      <c r="F204" s="13">
        <f>'W-Dem'!F264*1000000/1000*Sum!F320*'W-Rev'!$D$247</f>
        <v>0</v>
      </c>
      <c r="G204" s="289">
        <f>'W-Dem'!G264*1000000/1000*Sum!G320*'W-Rev'!$D$247</f>
        <v>0</v>
      </c>
      <c r="H204" s="290">
        <f>'W-Dem'!H264*1000000/1000*Sum!H320*'W-Rev'!$D$247</f>
        <v>0</v>
      </c>
      <c r="I204" s="290">
        <f>'W-Dem'!I264*1000000/1000*Sum!I320*'W-Rev'!$D$247</f>
        <v>0</v>
      </c>
      <c r="J204" s="290">
        <f>'W-Dem'!J264*1000000/1000*Sum!J320*'W-Rev'!$D$247</f>
        <v>0</v>
      </c>
      <c r="K204" s="290">
        <f>'W-Dem'!K264*1000000/1000*Sum!K320*'W-Rev'!$D$247</f>
        <v>0</v>
      </c>
      <c r="L204" s="290">
        <f>'W-Dem'!L264*1000000/1000*Sum!L320*'W-Rev'!$D$247</f>
        <v>0</v>
      </c>
      <c r="M204" s="290">
        <f>'W-Dem'!M264*1000000/1000*Sum!M320*'W-Rev'!$D$247</f>
        <v>0</v>
      </c>
      <c r="N204" s="290">
        <f>'W-Dem'!N264*1000000/1000*Sum!N320*'W-Rev'!$D$247</f>
        <v>0</v>
      </c>
      <c r="O204" s="290">
        <f>'W-Dem'!O264*1000000/1000*Sum!O320*'W-Rev'!$D$247</f>
        <v>0</v>
      </c>
      <c r="P204" s="290">
        <f>'W-Dem'!P264*1000000/1000*Sum!P320*'W-Rev'!$D$247</f>
        <v>0</v>
      </c>
    </row>
    <row r="205" spans="1:16" s="3" customFormat="1" ht="12.75" customHeight="1" x14ac:dyDescent="0.25">
      <c r="A205" s="16"/>
      <c r="B205" s="88">
        <f>'W-Dem'!B265</f>
        <v>0</v>
      </c>
      <c r="C205" s="88">
        <f>'W-Dem'!C265</f>
        <v>0</v>
      </c>
      <c r="D205" s="97"/>
      <c r="E205" s="13">
        <f>'W-Dem'!E265*1000000/1000*Sum!E321*'W-Rev'!$D$247</f>
        <v>0</v>
      </c>
      <c r="F205" s="13">
        <f>'W-Dem'!F265*1000000/1000*Sum!F321*'W-Rev'!$D$247</f>
        <v>0</v>
      </c>
      <c r="G205" s="289">
        <f>'W-Dem'!G265*1000000/1000*Sum!G321*'W-Rev'!$D$247</f>
        <v>0</v>
      </c>
      <c r="H205" s="290">
        <f>'W-Dem'!H265*1000000/1000*Sum!H321*'W-Rev'!$D$247</f>
        <v>0</v>
      </c>
      <c r="I205" s="290">
        <f>'W-Dem'!I265*1000000/1000*Sum!I321*'W-Rev'!$D$247</f>
        <v>0</v>
      </c>
      <c r="J205" s="290">
        <f>'W-Dem'!J265*1000000/1000*Sum!J321*'W-Rev'!$D$247</f>
        <v>0</v>
      </c>
      <c r="K205" s="290">
        <f>'W-Dem'!K265*1000000/1000*Sum!K321*'W-Rev'!$D$247</f>
        <v>0</v>
      </c>
      <c r="L205" s="290">
        <f>'W-Dem'!L265*1000000/1000*Sum!L321*'W-Rev'!$D$247</f>
        <v>0</v>
      </c>
      <c r="M205" s="290">
        <f>'W-Dem'!M265*1000000/1000*Sum!M321*'W-Rev'!$D$247</f>
        <v>0</v>
      </c>
      <c r="N205" s="290">
        <f>'W-Dem'!N265*1000000/1000*Sum!N321*'W-Rev'!$D$247</f>
        <v>0</v>
      </c>
      <c r="O205" s="290">
        <f>'W-Dem'!O265*1000000/1000*Sum!O321*'W-Rev'!$D$247</f>
        <v>0</v>
      </c>
      <c r="P205" s="290">
        <f>'W-Dem'!P265*1000000/1000*Sum!P321*'W-Rev'!$D$247</f>
        <v>0</v>
      </c>
    </row>
    <row r="206" spans="1:16" s="3" customFormat="1" ht="12.75" customHeight="1" x14ac:dyDescent="0.25">
      <c r="A206" s="16"/>
      <c r="B206" s="88">
        <f>'W-Dem'!B266</f>
        <v>0</v>
      </c>
      <c r="C206" s="88">
        <f>'W-Dem'!C266</f>
        <v>0</v>
      </c>
      <c r="D206" s="97"/>
      <c r="E206" s="13">
        <f>'W-Dem'!E266*1000000/1000*Sum!E322*'W-Rev'!$D$247</f>
        <v>0</v>
      </c>
      <c r="F206" s="13">
        <f>'W-Dem'!F266*1000000/1000*Sum!F322*'W-Rev'!$D$247</f>
        <v>0</v>
      </c>
      <c r="G206" s="289">
        <f>'W-Dem'!G266*1000000/1000*Sum!G322*'W-Rev'!$D$247</f>
        <v>0</v>
      </c>
      <c r="H206" s="290">
        <f>'W-Dem'!H266*1000000/1000*Sum!H322*'W-Rev'!$D$247</f>
        <v>0</v>
      </c>
      <c r="I206" s="290">
        <f>'W-Dem'!I266*1000000/1000*Sum!I322*'W-Rev'!$D$247</f>
        <v>0</v>
      </c>
      <c r="J206" s="290">
        <f>'W-Dem'!J266*1000000/1000*Sum!J322*'W-Rev'!$D$247</f>
        <v>0</v>
      </c>
      <c r="K206" s="290">
        <f>'W-Dem'!K266*1000000/1000*Sum!K322*'W-Rev'!$D$247</f>
        <v>0</v>
      </c>
      <c r="L206" s="290">
        <f>'W-Dem'!L266*1000000/1000*Sum!L322*'W-Rev'!$D$247</f>
        <v>0</v>
      </c>
      <c r="M206" s="290">
        <f>'W-Dem'!M266*1000000/1000*Sum!M322*'W-Rev'!$D$247</f>
        <v>0</v>
      </c>
      <c r="N206" s="290">
        <f>'W-Dem'!N266*1000000/1000*Sum!N322*'W-Rev'!$D$247</f>
        <v>0</v>
      </c>
      <c r="O206" s="290">
        <f>'W-Dem'!O266*1000000/1000*Sum!O322*'W-Rev'!$D$247</f>
        <v>0</v>
      </c>
      <c r="P206" s="290">
        <f>'W-Dem'!P266*1000000/1000*Sum!P322*'W-Rev'!$D$247</f>
        <v>0</v>
      </c>
    </row>
    <row r="207" spans="1:16" s="3" customFormat="1" ht="12.75" customHeight="1" x14ac:dyDescent="0.25">
      <c r="A207" s="16"/>
      <c r="B207" s="88">
        <f>'W-Dem'!B267</f>
        <v>0</v>
      </c>
      <c r="C207" s="88">
        <f>'W-Dem'!C267</f>
        <v>0</v>
      </c>
      <c r="D207" s="97"/>
      <c r="E207" s="13">
        <f>'W-Dem'!E267*1000000/1000*Sum!E323*'W-Rev'!$D$247</f>
        <v>0</v>
      </c>
      <c r="F207" s="13">
        <f>'W-Dem'!F267*1000000/1000*Sum!F323*'W-Rev'!$D$247</f>
        <v>0</v>
      </c>
      <c r="G207" s="289">
        <f>'W-Dem'!G267*1000000/1000*Sum!G323*'W-Rev'!$D$247</f>
        <v>0</v>
      </c>
      <c r="H207" s="290">
        <f>'W-Dem'!H267*1000000/1000*Sum!H323*'W-Rev'!$D$247</f>
        <v>0</v>
      </c>
      <c r="I207" s="290">
        <f>'W-Dem'!I267*1000000/1000*Sum!I323*'W-Rev'!$D$247</f>
        <v>0</v>
      </c>
      <c r="J207" s="290">
        <f>'W-Dem'!J267*1000000/1000*Sum!J323*'W-Rev'!$D$247</f>
        <v>0</v>
      </c>
      <c r="K207" s="290">
        <f>'W-Dem'!K267*1000000/1000*Sum!K323*'W-Rev'!$D$247</f>
        <v>0</v>
      </c>
      <c r="L207" s="290">
        <f>'W-Dem'!L267*1000000/1000*Sum!L323*'W-Rev'!$D$247</f>
        <v>0</v>
      </c>
      <c r="M207" s="290">
        <f>'W-Dem'!M267*1000000/1000*Sum!M323*'W-Rev'!$D$247</f>
        <v>0</v>
      </c>
      <c r="N207" s="290">
        <f>'W-Dem'!N267*1000000/1000*Sum!N323*'W-Rev'!$D$247</f>
        <v>0</v>
      </c>
      <c r="O207" s="290">
        <f>'W-Dem'!O267*1000000/1000*Sum!O323*'W-Rev'!$D$247</f>
        <v>0</v>
      </c>
      <c r="P207" s="290">
        <f>'W-Dem'!P267*1000000/1000*Sum!P323*'W-Rev'!$D$247</f>
        <v>0</v>
      </c>
    </row>
    <row r="208" spans="1:16" s="3" customFormat="1" ht="12.75" customHeight="1" x14ac:dyDescent="0.25">
      <c r="A208" s="16"/>
      <c r="B208" s="88">
        <f>'W-Dem'!B268</f>
        <v>0</v>
      </c>
      <c r="C208" s="88">
        <f>'W-Dem'!C268</f>
        <v>0</v>
      </c>
      <c r="D208" s="97"/>
      <c r="E208" s="13">
        <f>'W-Dem'!E268*1000000/1000*Sum!E324*'W-Rev'!$D$247</f>
        <v>0</v>
      </c>
      <c r="F208" s="13">
        <f>'W-Dem'!F268*1000000/1000*Sum!F324*'W-Rev'!$D$247</f>
        <v>0</v>
      </c>
      <c r="G208" s="289">
        <f>'W-Dem'!G268*1000000/1000*Sum!G324*'W-Rev'!$D$247</f>
        <v>0</v>
      </c>
      <c r="H208" s="290">
        <f>'W-Dem'!H268*1000000/1000*Sum!H324*'W-Rev'!$D$247</f>
        <v>0</v>
      </c>
      <c r="I208" s="290">
        <f>'W-Dem'!I268*1000000/1000*Sum!I324*'W-Rev'!$D$247</f>
        <v>0</v>
      </c>
      <c r="J208" s="290">
        <f>'W-Dem'!J268*1000000/1000*Sum!J324*'W-Rev'!$D$247</f>
        <v>0</v>
      </c>
      <c r="K208" s="290">
        <f>'W-Dem'!K268*1000000/1000*Sum!K324*'W-Rev'!$D$247</f>
        <v>0</v>
      </c>
      <c r="L208" s="290">
        <f>'W-Dem'!L268*1000000/1000*Sum!L324*'W-Rev'!$D$247</f>
        <v>0</v>
      </c>
      <c r="M208" s="290">
        <f>'W-Dem'!M268*1000000/1000*Sum!M324*'W-Rev'!$D$247</f>
        <v>0</v>
      </c>
      <c r="N208" s="290">
        <f>'W-Dem'!N268*1000000/1000*Sum!N324*'W-Rev'!$D$247</f>
        <v>0</v>
      </c>
      <c r="O208" s="290">
        <f>'W-Dem'!O268*1000000/1000*Sum!O324*'W-Rev'!$D$247</f>
        <v>0</v>
      </c>
      <c r="P208" s="290">
        <f>'W-Dem'!P268*1000000/1000*Sum!P324*'W-Rev'!$D$247</f>
        <v>0</v>
      </c>
    </row>
    <row r="209" spans="1:16" s="3" customFormat="1" ht="12.75" customHeight="1" x14ac:dyDescent="0.25">
      <c r="A209" s="16"/>
      <c r="B209" s="89">
        <f>'W-Dem'!B269</f>
        <v>0</v>
      </c>
      <c r="C209" s="89">
        <f>'W-Dem'!C269</f>
        <v>0</v>
      </c>
      <c r="D209" s="291"/>
      <c r="E209" s="30">
        <f>'W-Dem'!E269*1000000/1000*Sum!E325*'W-Rev'!$D$247</f>
        <v>0</v>
      </c>
      <c r="F209" s="30">
        <f>'W-Dem'!F269*1000000/1000*Sum!F325*'W-Rev'!$D$247</f>
        <v>0</v>
      </c>
      <c r="G209" s="293">
        <f>'W-Dem'!G269*1000000/1000*Sum!G325*'W-Rev'!$D$247</f>
        <v>0</v>
      </c>
      <c r="H209" s="294">
        <f>'W-Dem'!H269*1000000/1000*Sum!H325*'W-Rev'!$D$247</f>
        <v>0</v>
      </c>
      <c r="I209" s="294">
        <f>'W-Dem'!I269*1000000/1000*Sum!I325*'W-Rev'!$D$247</f>
        <v>0</v>
      </c>
      <c r="J209" s="294">
        <f>'W-Dem'!J269*1000000/1000*Sum!J325*'W-Rev'!$D$247</f>
        <v>0</v>
      </c>
      <c r="K209" s="294">
        <f>'W-Dem'!K269*1000000/1000*Sum!K325*'W-Rev'!$D$247</f>
        <v>0</v>
      </c>
      <c r="L209" s="294">
        <f>'W-Dem'!L269*1000000/1000*Sum!L325*'W-Rev'!$D$247</f>
        <v>0</v>
      </c>
      <c r="M209" s="294">
        <f>'W-Dem'!M269*1000000/1000*Sum!M325*'W-Rev'!$D$247</f>
        <v>0</v>
      </c>
      <c r="N209" s="294">
        <f>'W-Dem'!N269*1000000/1000*Sum!N325*'W-Rev'!$D$247</f>
        <v>0</v>
      </c>
      <c r="O209" s="294">
        <f>'W-Dem'!O269*1000000/1000*Sum!O325*'W-Rev'!$D$247</f>
        <v>0</v>
      </c>
      <c r="P209" s="294">
        <f>'W-Dem'!P269*1000000/1000*Sum!P325*'W-Rev'!$D$247</f>
        <v>0</v>
      </c>
    </row>
    <row r="210" spans="1:16" s="3" customFormat="1" ht="12.75" customHeight="1" x14ac:dyDescent="0.25">
      <c r="A210" s="16"/>
      <c r="B210" s="88"/>
      <c r="C210" s="88" t="s">
        <v>219</v>
      </c>
      <c r="D210" s="97"/>
      <c r="E210" s="20">
        <f t="shared" ref="E210:I210" si="60">SUM(E203:E209)</f>
        <v>56811.347999999991</v>
      </c>
      <c r="F210" s="20">
        <f t="shared" si="60"/>
        <v>62688.383999999998</v>
      </c>
      <c r="G210" s="289">
        <f t="shared" si="60"/>
        <v>109704.67199999999</v>
      </c>
      <c r="H210" s="290">
        <f t="shared" si="60"/>
        <v>120675.13920000001</v>
      </c>
      <c r="I210" s="290">
        <f t="shared" si="60"/>
        <v>124295.39337600001</v>
      </c>
      <c r="J210" s="290">
        <f t="shared" ref="J210:P210" si="61">SUM(J203:J209)</f>
        <v>128024.25517728002</v>
      </c>
      <c r="K210" s="290">
        <f t="shared" si="61"/>
        <v>131864.98283259844</v>
      </c>
      <c r="L210" s="290">
        <f t="shared" si="61"/>
        <v>135820.93231757637</v>
      </c>
      <c r="M210" s="290">
        <f t="shared" si="61"/>
        <v>139895.56028710367</v>
      </c>
      <c r="N210" s="290">
        <f t="shared" si="61"/>
        <v>144092.42709571676</v>
      </c>
      <c r="O210" s="290">
        <f t="shared" si="61"/>
        <v>148415.19990858826</v>
      </c>
      <c r="P210" s="290">
        <f t="shared" si="61"/>
        <v>152867.65590584592</v>
      </c>
    </row>
    <row r="211" spans="1:16" s="3" customFormat="1" ht="12.75" customHeight="1" x14ac:dyDescent="0.25">
      <c r="A211" s="16"/>
      <c r="B211" s="88"/>
      <c r="C211" s="88"/>
      <c r="D211" s="97"/>
      <c r="E211" s="36"/>
      <c r="F211" s="13"/>
      <c r="G211" s="179"/>
      <c r="H211" s="36"/>
      <c r="I211" s="36"/>
      <c r="J211" s="36"/>
      <c r="K211" s="36"/>
      <c r="L211" s="36"/>
      <c r="M211" s="36"/>
      <c r="N211" s="36"/>
      <c r="O211" s="36"/>
      <c r="P211" s="36"/>
    </row>
    <row r="212" spans="1:16" s="3" customFormat="1" ht="12.75" customHeight="1" x14ac:dyDescent="0.25">
      <c r="A212" s="84" t="s">
        <v>343</v>
      </c>
      <c r="B212" s="310"/>
      <c r="C212" s="311"/>
      <c r="D212" s="90"/>
      <c r="E212" s="36"/>
      <c r="F212" s="13"/>
      <c r="G212" s="179"/>
      <c r="H212" s="36"/>
      <c r="I212" s="36"/>
      <c r="J212" s="36"/>
      <c r="K212" s="36"/>
      <c r="L212" s="36"/>
      <c r="M212" s="36"/>
      <c r="N212" s="36"/>
      <c r="O212" s="36"/>
      <c r="P212" s="36"/>
    </row>
    <row r="213" spans="1:16" s="3" customFormat="1" ht="12.75" customHeight="1" x14ac:dyDescent="0.25">
      <c r="A213" s="16"/>
      <c r="B213" s="88">
        <f>'W-Dem'!B273</f>
        <v>0</v>
      </c>
      <c r="C213" s="88">
        <f>'W-Dem'!C273</f>
        <v>3000</v>
      </c>
      <c r="D213" s="97"/>
      <c r="E213" s="13">
        <f>'W-Dem'!E273*1000000/1000*Sum!E328*'W-Rev'!$D$247</f>
        <v>3104.4971249999999</v>
      </c>
      <c r="F213" s="13">
        <f>'W-Dem'!F273*1000000/1000*Sum!F328*'W-Rev'!$D$247</f>
        <v>3425.652</v>
      </c>
      <c r="G213" s="289">
        <f>'W-Dem'!G273*1000000/1000*Sum!G328*'W-Rev'!$D$247</f>
        <v>5994.8909999999996</v>
      </c>
      <c r="H213" s="290">
        <f>'W-Dem'!H273*1000000/1000*Sum!H328*'W-Rev'!$D$247</f>
        <v>6594.3801000000003</v>
      </c>
      <c r="I213" s="290">
        <f>'W-Dem'!I273*1000000/1000*Sum!I328*'W-Rev'!$D$247</f>
        <v>6792.2115030000004</v>
      </c>
      <c r="J213" s="290">
        <f>'W-Dem'!J273*1000000/1000*Sum!J328*'W-Rev'!$D$247</f>
        <v>6995.9778480900013</v>
      </c>
      <c r="K213" s="290">
        <f>'W-Dem'!K273*1000000/1000*Sum!K328*'W-Rev'!$D$247</f>
        <v>7205.8571835327011</v>
      </c>
      <c r="L213" s="290">
        <f>'W-Dem'!L273*1000000/1000*Sum!L328*'W-Rev'!$D$247</f>
        <v>7422.0328990386834</v>
      </c>
      <c r="M213" s="290">
        <f>'W-Dem'!M273*1000000/1000*Sum!M328*'W-Rev'!$D$247</f>
        <v>7644.6938860098435</v>
      </c>
      <c r="N213" s="290">
        <f>'W-Dem'!N273*1000000/1000*Sum!N328*'W-Rev'!$D$247</f>
        <v>7874.0347025901374</v>
      </c>
      <c r="O213" s="290">
        <f>'W-Dem'!O273*1000000/1000*Sum!O328*'W-Rev'!$D$247</f>
        <v>8110.2557436678417</v>
      </c>
      <c r="P213" s="290">
        <f>'W-Dem'!P273*1000000/1000*Sum!P328*'W-Rev'!$D$247</f>
        <v>8353.5634159778765</v>
      </c>
    </row>
    <row r="214" spans="1:16" s="3" customFormat="1" ht="12.75" customHeight="1" x14ac:dyDescent="0.25">
      <c r="A214" s="16"/>
      <c r="B214" s="88">
        <f>'W-Dem'!B274</f>
        <v>0</v>
      </c>
      <c r="C214" s="88">
        <f>'W-Dem'!C274</f>
        <v>0</v>
      </c>
      <c r="D214" s="97"/>
      <c r="E214" s="36">
        <f>'W-Dem'!E274*1000000/1000*Sum!E329*'W-Rev'!$D$247</f>
        <v>0</v>
      </c>
      <c r="F214" s="13">
        <f>'W-Dem'!F274*1000000/1000*Sum!F329*'W-Rev'!$D$247</f>
        <v>0</v>
      </c>
      <c r="G214" s="289">
        <f>'W-Dem'!G274*1000000/1000*Sum!G329*'W-Rev'!$D$247</f>
        <v>0</v>
      </c>
      <c r="H214" s="290">
        <f>'W-Dem'!H274*1000000/1000*Sum!H329*'W-Rev'!$D$247</f>
        <v>0</v>
      </c>
      <c r="I214" s="290">
        <f>'W-Dem'!I274*1000000/1000*Sum!I329*'W-Rev'!$D$247</f>
        <v>0</v>
      </c>
      <c r="J214" s="290">
        <f>'W-Dem'!J274*1000000/1000*Sum!J329*'W-Rev'!$D$247</f>
        <v>0</v>
      </c>
      <c r="K214" s="290">
        <f>'W-Dem'!K274*1000000/1000*Sum!K329*'W-Rev'!$D$247</f>
        <v>0</v>
      </c>
      <c r="L214" s="290">
        <f>'W-Dem'!L274*1000000/1000*Sum!L329*'W-Rev'!$D$247</f>
        <v>0</v>
      </c>
      <c r="M214" s="290">
        <f>'W-Dem'!M274*1000000/1000*Sum!M329*'W-Rev'!$D$247</f>
        <v>0</v>
      </c>
      <c r="N214" s="290">
        <f>'W-Dem'!N274*1000000/1000*Sum!N329*'W-Rev'!$D$247</f>
        <v>0</v>
      </c>
      <c r="O214" s="290">
        <f>'W-Dem'!O274*1000000/1000*Sum!O329*'W-Rev'!$D$247</f>
        <v>0</v>
      </c>
      <c r="P214" s="290">
        <f>'W-Dem'!P274*1000000/1000*Sum!P329*'W-Rev'!$D$247</f>
        <v>0</v>
      </c>
    </row>
    <row r="215" spans="1:16" s="3" customFormat="1" ht="12.75" customHeight="1" x14ac:dyDescent="0.25">
      <c r="A215" s="16"/>
      <c r="B215" s="88">
        <f>'W-Dem'!B275</f>
        <v>0</v>
      </c>
      <c r="C215" s="88">
        <f>'W-Dem'!C275</f>
        <v>0</v>
      </c>
      <c r="D215" s="97"/>
      <c r="E215" s="36">
        <f>'W-Dem'!E275*1000000/1000*Sum!E330*'W-Rev'!$D$247</f>
        <v>0</v>
      </c>
      <c r="F215" s="13">
        <f>'W-Dem'!F275*1000000/1000*Sum!F330*'W-Rev'!$D$247</f>
        <v>0</v>
      </c>
      <c r="G215" s="289">
        <f>'W-Dem'!G275*1000000/1000*Sum!G330*'W-Rev'!$D$247</f>
        <v>0</v>
      </c>
      <c r="H215" s="290">
        <f>'W-Dem'!H275*1000000/1000*Sum!H330*'W-Rev'!$D$247</f>
        <v>0</v>
      </c>
      <c r="I215" s="290">
        <f>'W-Dem'!I275*1000000/1000*Sum!I330*'W-Rev'!$D$247</f>
        <v>0</v>
      </c>
      <c r="J215" s="290">
        <f>'W-Dem'!J275*1000000/1000*Sum!J330*'W-Rev'!$D$247</f>
        <v>0</v>
      </c>
      <c r="K215" s="290">
        <f>'W-Dem'!K275*1000000/1000*Sum!K330*'W-Rev'!$D$247</f>
        <v>0</v>
      </c>
      <c r="L215" s="290">
        <f>'W-Dem'!L275*1000000/1000*Sum!L330*'W-Rev'!$D$247</f>
        <v>0</v>
      </c>
      <c r="M215" s="290">
        <f>'W-Dem'!M275*1000000/1000*Sum!M330*'W-Rev'!$D$247</f>
        <v>0</v>
      </c>
      <c r="N215" s="290">
        <f>'W-Dem'!N275*1000000/1000*Sum!N330*'W-Rev'!$D$247</f>
        <v>0</v>
      </c>
      <c r="O215" s="290">
        <f>'W-Dem'!O275*1000000/1000*Sum!O330*'W-Rev'!$D$247</f>
        <v>0</v>
      </c>
      <c r="P215" s="290">
        <f>'W-Dem'!P275*1000000/1000*Sum!P330*'W-Rev'!$D$247</f>
        <v>0</v>
      </c>
    </row>
    <row r="216" spans="1:16" s="3" customFormat="1" ht="12.75" customHeight="1" x14ac:dyDescent="0.25">
      <c r="A216" s="16"/>
      <c r="B216" s="88">
        <f>'W-Dem'!B276</f>
        <v>0</v>
      </c>
      <c r="C216" s="88">
        <f>'W-Dem'!C276</f>
        <v>0</v>
      </c>
      <c r="D216" s="97"/>
      <c r="E216" s="36">
        <f>'W-Dem'!E276*1000000/1000*Sum!E331*'W-Rev'!$D$247</f>
        <v>0</v>
      </c>
      <c r="F216" s="13">
        <f>'W-Dem'!F276*1000000/1000*Sum!F331*'W-Rev'!$D$247</f>
        <v>0</v>
      </c>
      <c r="G216" s="289">
        <f>'W-Dem'!G276*1000000/1000*Sum!G331*'W-Rev'!$D$247</f>
        <v>0</v>
      </c>
      <c r="H216" s="290">
        <f>'W-Dem'!H276*1000000/1000*Sum!H331*'W-Rev'!$D$247</f>
        <v>0</v>
      </c>
      <c r="I216" s="290">
        <f>'W-Dem'!I276*1000000/1000*Sum!I331*'W-Rev'!$D$247</f>
        <v>0</v>
      </c>
      <c r="J216" s="290">
        <f>'W-Dem'!J276*1000000/1000*Sum!J331*'W-Rev'!$D$247</f>
        <v>0</v>
      </c>
      <c r="K216" s="290">
        <f>'W-Dem'!K276*1000000/1000*Sum!K331*'W-Rev'!$D$247</f>
        <v>0</v>
      </c>
      <c r="L216" s="290">
        <f>'W-Dem'!L276*1000000/1000*Sum!L331*'W-Rev'!$D$247</f>
        <v>0</v>
      </c>
      <c r="M216" s="290">
        <f>'W-Dem'!M276*1000000/1000*Sum!M331*'W-Rev'!$D$247</f>
        <v>0</v>
      </c>
      <c r="N216" s="290">
        <f>'W-Dem'!N276*1000000/1000*Sum!N331*'W-Rev'!$D$247</f>
        <v>0</v>
      </c>
      <c r="O216" s="290">
        <f>'W-Dem'!O276*1000000/1000*Sum!O331*'W-Rev'!$D$247</f>
        <v>0</v>
      </c>
      <c r="P216" s="290">
        <f>'W-Dem'!P276*1000000/1000*Sum!P331*'W-Rev'!$D$247</f>
        <v>0</v>
      </c>
    </row>
    <row r="217" spans="1:16" s="3" customFormat="1" ht="12.75" customHeight="1" x14ac:dyDescent="0.25">
      <c r="A217" s="16"/>
      <c r="B217" s="88">
        <f>'W-Dem'!B277</f>
        <v>0</v>
      </c>
      <c r="C217" s="88">
        <f>'W-Dem'!C277</f>
        <v>0</v>
      </c>
      <c r="D217" s="97"/>
      <c r="E217" s="36">
        <f>'W-Dem'!E277*1000000/1000*Sum!E332*'W-Rev'!$D$247</f>
        <v>0</v>
      </c>
      <c r="F217" s="13">
        <f>'W-Dem'!F277*1000000/1000*Sum!F332*'W-Rev'!$D$247</f>
        <v>0</v>
      </c>
      <c r="G217" s="289">
        <f>'W-Dem'!G277*1000000/1000*Sum!G332*'W-Rev'!$D$247</f>
        <v>0</v>
      </c>
      <c r="H217" s="290">
        <f>'W-Dem'!H277*1000000/1000*Sum!H332*'W-Rev'!$D$247</f>
        <v>0</v>
      </c>
      <c r="I217" s="290">
        <f>'W-Dem'!I277*1000000/1000*Sum!I332*'W-Rev'!$D$247</f>
        <v>0</v>
      </c>
      <c r="J217" s="290">
        <f>'W-Dem'!J277*1000000/1000*Sum!J332*'W-Rev'!$D$247</f>
        <v>0</v>
      </c>
      <c r="K217" s="290">
        <f>'W-Dem'!K277*1000000/1000*Sum!K332*'W-Rev'!$D$247</f>
        <v>0</v>
      </c>
      <c r="L217" s="290">
        <f>'W-Dem'!L277*1000000/1000*Sum!L332*'W-Rev'!$D$247</f>
        <v>0</v>
      </c>
      <c r="M217" s="290">
        <f>'W-Dem'!M277*1000000/1000*Sum!M332*'W-Rev'!$D$247</f>
        <v>0</v>
      </c>
      <c r="N217" s="290">
        <f>'W-Dem'!N277*1000000/1000*Sum!N332*'W-Rev'!$D$247</f>
        <v>0</v>
      </c>
      <c r="O217" s="290">
        <f>'W-Dem'!O277*1000000/1000*Sum!O332*'W-Rev'!$D$247</f>
        <v>0</v>
      </c>
      <c r="P217" s="290">
        <f>'W-Dem'!P277*1000000/1000*Sum!P332*'W-Rev'!$D$247</f>
        <v>0</v>
      </c>
    </row>
    <row r="218" spans="1:16" s="3" customFormat="1" ht="12.75" customHeight="1" x14ac:dyDescent="0.25">
      <c r="A218" s="16"/>
      <c r="B218" s="89">
        <f>'W-Dem'!B278</f>
        <v>0</v>
      </c>
      <c r="C218" s="89">
        <f>'W-Dem'!C278</f>
        <v>0</v>
      </c>
      <c r="D218" s="291"/>
      <c r="E218" s="292">
        <f>'W-Dem'!E278*1000000/1000*Sum!E333*'W-Rev'!$D$247</f>
        <v>0</v>
      </c>
      <c r="F218" s="30">
        <f>'W-Dem'!F278*1000000/1000*Sum!F333*'W-Rev'!$D$247</f>
        <v>0</v>
      </c>
      <c r="G218" s="293">
        <f>'W-Dem'!G278*1000000/1000*Sum!G333*'W-Rev'!$D$247</f>
        <v>0</v>
      </c>
      <c r="H218" s="294">
        <f>'W-Dem'!H278*1000000/1000*Sum!H333*'W-Rev'!$D$247</f>
        <v>0</v>
      </c>
      <c r="I218" s="294">
        <f>'W-Dem'!I278*1000000/1000*Sum!I333*'W-Rev'!$D$247</f>
        <v>0</v>
      </c>
      <c r="J218" s="294">
        <f>'W-Dem'!J278*1000000/1000*Sum!J333*'W-Rev'!$D$247</f>
        <v>0</v>
      </c>
      <c r="K218" s="294">
        <f>'W-Dem'!K278*1000000/1000*Sum!K333*'W-Rev'!$D$247</f>
        <v>0</v>
      </c>
      <c r="L218" s="294">
        <f>'W-Dem'!L278*1000000/1000*Sum!L333*'W-Rev'!$D$247</f>
        <v>0</v>
      </c>
      <c r="M218" s="294">
        <f>'W-Dem'!M278*1000000/1000*Sum!M333*'W-Rev'!$D$247</f>
        <v>0</v>
      </c>
      <c r="N218" s="294">
        <f>'W-Dem'!N278*1000000/1000*Sum!N333*'W-Rev'!$D$247</f>
        <v>0</v>
      </c>
      <c r="O218" s="294">
        <f>'W-Dem'!O278*1000000/1000*Sum!O333*'W-Rev'!$D$247</f>
        <v>0</v>
      </c>
      <c r="P218" s="294">
        <f>'W-Dem'!P278*1000000/1000*Sum!P333*'W-Rev'!$D$247</f>
        <v>0</v>
      </c>
    </row>
    <row r="219" spans="1:16" s="3" customFormat="1" ht="12.75" customHeight="1" x14ac:dyDescent="0.25">
      <c r="A219" s="16"/>
      <c r="B219" s="88"/>
      <c r="C219" s="88" t="s">
        <v>219</v>
      </c>
      <c r="D219" s="97"/>
      <c r="E219" s="207">
        <f t="shared" ref="E219:I219" si="62">SUM(E213:E218)</f>
        <v>3104.4971249999999</v>
      </c>
      <c r="F219" s="20">
        <f t="shared" si="62"/>
        <v>3425.652</v>
      </c>
      <c r="G219" s="289">
        <f t="shared" si="62"/>
        <v>5994.8909999999996</v>
      </c>
      <c r="H219" s="290">
        <f t="shared" si="62"/>
        <v>6594.3801000000003</v>
      </c>
      <c r="I219" s="290">
        <f t="shared" si="62"/>
        <v>6792.2115030000004</v>
      </c>
      <c r="J219" s="290">
        <f t="shared" ref="J219:P219" si="63">SUM(J213:J218)</f>
        <v>6995.9778480900013</v>
      </c>
      <c r="K219" s="290">
        <f t="shared" si="63"/>
        <v>7205.8571835327011</v>
      </c>
      <c r="L219" s="290">
        <f t="shared" si="63"/>
        <v>7422.0328990386834</v>
      </c>
      <c r="M219" s="290">
        <f t="shared" si="63"/>
        <v>7644.6938860098435</v>
      </c>
      <c r="N219" s="290">
        <f t="shared" si="63"/>
        <v>7874.0347025901374</v>
      </c>
      <c r="O219" s="290">
        <f t="shared" si="63"/>
        <v>8110.2557436678417</v>
      </c>
      <c r="P219" s="290">
        <f t="shared" si="63"/>
        <v>8353.5634159778765</v>
      </c>
    </row>
    <row r="220" spans="1:16" s="3" customFormat="1" ht="12.75" customHeight="1" x14ac:dyDescent="0.25">
      <c r="A220" s="16"/>
      <c r="B220" s="88"/>
      <c r="C220" s="88"/>
      <c r="D220" s="97"/>
      <c r="E220" s="36"/>
      <c r="F220" s="13"/>
      <c r="G220" s="179"/>
      <c r="H220" s="36"/>
      <c r="I220" s="36"/>
      <c r="J220" s="36"/>
      <c r="K220" s="36"/>
      <c r="L220" s="36"/>
      <c r="M220" s="36"/>
      <c r="N220" s="36"/>
      <c r="O220" s="36"/>
      <c r="P220" s="36"/>
    </row>
    <row r="221" spans="1:16" s="3" customFormat="1" ht="12.75" customHeight="1" x14ac:dyDescent="0.25">
      <c r="A221" s="29" t="s">
        <v>297</v>
      </c>
      <c r="B221" s="310"/>
      <c r="C221" s="311"/>
      <c r="D221" s="90"/>
      <c r="E221" s="36"/>
      <c r="F221" s="13"/>
      <c r="G221" s="179"/>
      <c r="H221" s="36"/>
      <c r="I221" s="36"/>
      <c r="J221" s="36"/>
      <c r="K221" s="36"/>
      <c r="L221" s="36"/>
      <c r="M221" s="36"/>
      <c r="N221" s="36"/>
      <c r="O221" s="36"/>
      <c r="P221" s="36"/>
    </row>
    <row r="222" spans="1:16" s="3" customFormat="1" ht="12.75" customHeight="1" x14ac:dyDescent="0.25">
      <c r="A222" s="16"/>
      <c r="B222" s="88">
        <f>'W-Dem'!B282</f>
        <v>0</v>
      </c>
      <c r="C222" s="88">
        <f>'W-Dem'!C282</f>
        <v>99999999</v>
      </c>
      <c r="D222" s="97"/>
      <c r="E222" s="13">
        <f>'W-Dem'!E282*1000000/1000*Sum!E336*'W-Rev'!$D$247</f>
        <v>0</v>
      </c>
      <c r="F222" s="13">
        <f>'W-Dem'!F282*1000000/1000*Sum!F336*'W-Rev'!$D$247</f>
        <v>0</v>
      </c>
      <c r="G222" s="289">
        <f>'W-Dem'!G282*1000000/1000*Sum!G336*'W-Rev'!$D$247</f>
        <v>0</v>
      </c>
      <c r="H222" s="290">
        <f>'W-Dem'!H282*1000000/1000*Sum!H336*'W-Rev'!$D$247</f>
        <v>0</v>
      </c>
      <c r="I222" s="290">
        <f>'W-Dem'!I282*1000000/1000*Sum!I336*'W-Rev'!$D$247</f>
        <v>0</v>
      </c>
      <c r="J222" s="290">
        <f>'W-Dem'!J282*1000000/1000*Sum!J336*'W-Rev'!$D$247</f>
        <v>0</v>
      </c>
      <c r="K222" s="290">
        <f>'W-Dem'!K282*1000000/1000*Sum!K336*'W-Rev'!$D$247</f>
        <v>0</v>
      </c>
      <c r="L222" s="290">
        <f>'W-Dem'!L282*1000000/1000*Sum!L336*'W-Rev'!$D$247</f>
        <v>0</v>
      </c>
      <c r="M222" s="290">
        <f>'W-Dem'!M282*1000000/1000*Sum!M336*'W-Rev'!$D$247</f>
        <v>0</v>
      </c>
      <c r="N222" s="290">
        <f>'W-Dem'!N282*1000000/1000*Sum!N336*'W-Rev'!$D$247</f>
        <v>0</v>
      </c>
      <c r="O222" s="290">
        <f>'W-Dem'!O282*1000000/1000*Sum!O336*'W-Rev'!$D$247</f>
        <v>0</v>
      </c>
      <c r="P222" s="290">
        <f>'W-Dem'!P282*1000000/1000*Sum!P336*'W-Rev'!$D$247</f>
        <v>0</v>
      </c>
    </row>
    <row r="223" spans="1:16" s="3" customFormat="1" ht="12.75" customHeight="1" x14ac:dyDescent="0.25">
      <c r="A223" s="16"/>
      <c r="B223" s="88">
        <f>'W-Dem'!B283</f>
        <v>0</v>
      </c>
      <c r="C223" s="88">
        <f>'W-Dem'!C283</f>
        <v>0</v>
      </c>
      <c r="D223" s="97"/>
      <c r="E223" s="36">
        <f>'W-Dem'!E283*1000000/1000*Sum!E337*'W-Rev'!$D$247</f>
        <v>0</v>
      </c>
      <c r="F223" s="13">
        <f>'W-Dem'!F283*1000000/1000*Sum!F337*'W-Rev'!$D$247</f>
        <v>0</v>
      </c>
      <c r="G223" s="289">
        <f>'W-Dem'!G283*1000000/1000*Sum!G337*'W-Rev'!$D$247</f>
        <v>0</v>
      </c>
      <c r="H223" s="290">
        <f>'W-Dem'!H283*1000000/1000*Sum!H337*'W-Rev'!$D$247</f>
        <v>0</v>
      </c>
      <c r="I223" s="290">
        <f>'W-Dem'!I283*1000000/1000*Sum!I337*'W-Rev'!$D$247</f>
        <v>0</v>
      </c>
      <c r="J223" s="290">
        <f>'W-Dem'!J283*1000000/1000*Sum!J337*'W-Rev'!$D$247</f>
        <v>0</v>
      </c>
      <c r="K223" s="290">
        <f>'W-Dem'!K283*1000000/1000*Sum!K337*'W-Rev'!$D$247</f>
        <v>0</v>
      </c>
      <c r="L223" s="290">
        <f>'W-Dem'!L283*1000000/1000*Sum!L337*'W-Rev'!$D$247</f>
        <v>0</v>
      </c>
      <c r="M223" s="290">
        <f>'W-Dem'!M283*1000000/1000*Sum!M337*'W-Rev'!$D$247</f>
        <v>0</v>
      </c>
      <c r="N223" s="290">
        <f>'W-Dem'!N283*1000000/1000*Sum!N337*'W-Rev'!$D$247</f>
        <v>0</v>
      </c>
      <c r="O223" s="290">
        <f>'W-Dem'!O283*1000000/1000*Sum!O337*'W-Rev'!$D$247</f>
        <v>0</v>
      </c>
      <c r="P223" s="290">
        <f>'W-Dem'!P283*1000000/1000*Sum!P337*'W-Rev'!$D$247</f>
        <v>0</v>
      </c>
    </row>
    <row r="224" spans="1:16" s="3" customFormat="1" ht="12.75" customHeight="1" x14ac:dyDescent="0.25">
      <c r="A224" s="16"/>
      <c r="B224" s="88">
        <f>'W-Dem'!B284</f>
        <v>0</v>
      </c>
      <c r="C224" s="88">
        <f>'W-Dem'!C284</f>
        <v>0</v>
      </c>
      <c r="D224" s="97"/>
      <c r="E224" s="36">
        <f>'W-Dem'!E284*1000000/1000*Sum!E338*'W-Rev'!$D$247</f>
        <v>0</v>
      </c>
      <c r="F224" s="13">
        <f>'W-Dem'!F284*1000000/1000*Sum!F338*'W-Rev'!$D$247</f>
        <v>0</v>
      </c>
      <c r="G224" s="289">
        <f>'W-Dem'!G284*1000000/1000*Sum!G338*'W-Rev'!$D$247</f>
        <v>0</v>
      </c>
      <c r="H224" s="290">
        <f>'W-Dem'!H284*1000000/1000*Sum!H338*'W-Rev'!$D$247</f>
        <v>0</v>
      </c>
      <c r="I224" s="290">
        <f>'W-Dem'!I284*1000000/1000*Sum!I338*'W-Rev'!$D$247</f>
        <v>0</v>
      </c>
      <c r="J224" s="290">
        <f>'W-Dem'!J284*1000000/1000*Sum!J338*'W-Rev'!$D$247</f>
        <v>0</v>
      </c>
      <c r="K224" s="290">
        <f>'W-Dem'!K284*1000000/1000*Sum!K338*'W-Rev'!$D$247</f>
        <v>0</v>
      </c>
      <c r="L224" s="290">
        <f>'W-Dem'!L284*1000000/1000*Sum!L338*'W-Rev'!$D$247</f>
        <v>0</v>
      </c>
      <c r="M224" s="290">
        <f>'W-Dem'!M284*1000000/1000*Sum!M338*'W-Rev'!$D$247</f>
        <v>0</v>
      </c>
      <c r="N224" s="290">
        <f>'W-Dem'!N284*1000000/1000*Sum!N338*'W-Rev'!$D$247</f>
        <v>0</v>
      </c>
      <c r="O224" s="290">
        <f>'W-Dem'!O284*1000000/1000*Sum!O338*'W-Rev'!$D$247</f>
        <v>0</v>
      </c>
      <c r="P224" s="290">
        <f>'W-Dem'!P284*1000000/1000*Sum!P338*'W-Rev'!$D$247</f>
        <v>0</v>
      </c>
    </row>
    <row r="225" spans="1:16" s="3" customFormat="1" ht="12.75" customHeight="1" x14ac:dyDescent="0.25">
      <c r="A225" s="16"/>
      <c r="B225" s="88">
        <f>'W-Dem'!B285</f>
        <v>0</v>
      </c>
      <c r="C225" s="88">
        <f>'W-Dem'!C285</f>
        <v>0</v>
      </c>
      <c r="D225" s="97"/>
      <c r="E225" s="36">
        <f>'W-Dem'!E285*1000000/1000*Sum!E339*'W-Rev'!$D$247</f>
        <v>0</v>
      </c>
      <c r="F225" s="13">
        <f>'W-Dem'!F285*1000000/1000*Sum!F339*'W-Rev'!$D$247</f>
        <v>0</v>
      </c>
      <c r="G225" s="289">
        <f>'W-Dem'!G285*1000000/1000*Sum!G339*'W-Rev'!$D$247</f>
        <v>0</v>
      </c>
      <c r="H225" s="290">
        <f>'W-Dem'!H285*1000000/1000*Sum!H339*'W-Rev'!$D$247</f>
        <v>0</v>
      </c>
      <c r="I225" s="290">
        <f>'W-Dem'!I285*1000000/1000*Sum!I339*'W-Rev'!$D$247</f>
        <v>0</v>
      </c>
      <c r="J225" s="290">
        <f>'W-Dem'!J285*1000000/1000*Sum!J339*'W-Rev'!$D$247</f>
        <v>0</v>
      </c>
      <c r="K225" s="290">
        <f>'W-Dem'!K285*1000000/1000*Sum!K339*'W-Rev'!$D$247</f>
        <v>0</v>
      </c>
      <c r="L225" s="290">
        <f>'W-Dem'!L285*1000000/1000*Sum!L339*'W-Rev'!$D$247</f>
        <v>0</v>
      </c>
      <c r="M225" s="290">
        <f>'W-Dem'!M285*1000000/1000*Sum!M339*'W-Rev'!$D$247</f>
        <v>0</v>
      </c>
      <c r="N225" s="290">
        <f>'W-Dem'!N285*1000000/1000*Sum!N339*'W-Rev'!$D$247</f>
        <v>0</v>
      </c>
      <c r="O225" s="290">
        <f>'W-Dem'!O285*1000000/1000*Sum!O339*'W-Rev'!$D$247</f>
        <v>0</v>
      </c>
      <c r="P225" s="290">
        <f>'W-Dem'!P285*1000000/1000*Sum!P339*'W-Rev'!$D$247</f>
        <v>0</v>
      </c>
    </row>
    <row r="226" spans="1:16" s="3" customFormat="1" ht="12.75" customHeight="1" x14ac:dyDescent="0.25">
      <c r="A226" s="16"/>
      <c r="B226" s="88">
        <f>'W-Dem'!B286</f>
        <v>0</v>
      </c>
      <c r="C226" s="88">
        <f>'W-Dem'!C286</f>
        <v>0</v>
      </c>
      <c r="D226" s="97"/>
      <c r="E226" s="36">
        <f>'W-Dem'!E286*1000000/1000*Sum!E340*'W-Rev'!$D$247</f>
        <v>0</v>
      </c>
      <c r="F226" s="13">
        <f>'W-Dem'!F286*1000000/1000*Sum!F340*'W-Rev'!$D$247</f>
        <v>0</v>
      </c>
      <c r="G226" s="289">
        <f>'W-Dem'!G286*1000000/1000*Sum!G340*'W-Rev'!$D$247</f>
        <v>0</v>
      </c>
      <c r="H226" s="290">
        <f>'W-Dem'!H286*1000000/1000*Sum!H340*'W-Rev'!$D$247</f>
        <v>0</v>
      </c>
      <c r="I226" s="290">
        <f>'W-Dem'!I286*1000000/1000*Sum!I340*'W-Rev'!$D$247</f>
        <v>0</v>
      </c>
      <c r="J226" s="290">
        <f>'W-Dem'!J286*1000000/1000*Sum!J340*'W-Rev'!$D$247</f>
        <v>0</v>
      </c>
      <c r="K226" s="290">
        <f>'W-Dem'!K286*1000000/1000*Sum!K340*'W-Rev'!$D$247</f>
        <v>0</v>
      </c>
      <c r="L226" s="290">
        <f>'W-Dem'!L286*1000000/1000*Sum!L340*'W-Rev'!$D$247</f>
        <v>0</v>
      </c>
      <c r="M226" s="290">
        <f>'W-Dem'!M286*1000000/1000*Sum!M340*'W-Rev'!$D$247</f>
        <v>0</v>
      </c>
      <c r="N226" s="290">
        <f>'W-Dem'!N286*1000000/1000*Sum!N340*'W-Rev'!$D$247</f>
        <v>0</v>
      </c>
      <c r="O226" s="290">
        <f>'W-Dem'!O286*1000000/1000*Sum!O340*'W-Rev'!$D$247</f>
        <v>0</v>
      </c>
      <c r="P226" s="290">
        <f>'W-Dem'!P286*1000000/1000*Sum!P340*'W-Rev'!$D$247</f>
        <v>0</v>
      </c>
    </row>
    <row r="227" spans="1:16" s="3" customFormat="1" ht="12.75" customHeight="1" x14ac:dyDescent="0.25">
      <c r="A227" s="16"/>
      <c r="B227" s="89">
        <f>'W-Dem'!B287</f>
        <v>0</v>
      </c>
      <c r="C227" s="89">
        <f>'W-Dem'!C287</f>
        <v>0</v>
      </c>
      <c r="D227" s="291"/>
      <c r="E227" s="292">
        <f>'W-Dem'!E287*1000000/1000*Sum!E341*'W-Rev'!$D$247</f>
        <v>0</v>
      </c>
      <c r="F227" s="30">
        <f>'W-Dem'!F287*1000000/1000*Sum!F341*'W-Rev'!$D$247</f>
        <v>0</v>
      </c>
      <c r="G227" s="293">
        <f>'W-Dem'!G287*1000000/1000*Sum!G341*'W-Rev'!$D$247</f>
        <v>0</v>
      </c>
      <c r="H227" s="294">
        <f>'W-Dem'!H287*1000000/1000*Sum!H341*'W-Rev'!$D$247</f>
        <v>0</v>
      </c>
      <c r="I227" s="294">
        <f>'W-Dem'!I287*1000000/1000*Sum!I341*'W-Rev'!$D$247</f>
        <v>0</v>
      </c>
      <c r="J227" s="294">
        <f>'W-Dem'!J287*1000000/1000*Sum!J341*'W-Rev'!$D$247</f>
        <v>0</v>
      </c>
      <c r="K227" s="294">
        <f>'W-Dem'!K287*1000000/1000*Sum!K341*'W-Rev'!$D$247</f>
        <v>0</v>
      </c>
      <c r="L227" s="294">
        <f>'W-Dem'!L287*1000000/1000*Sum!L341*'W-Rev'!$D$247</f>
        <v>0</v>
      </c>
      <c r="M227" s="294">
        <f>'W-Dem'!M287*1000000/1000*Sum!M341*'W-Rev'!$D$247</f>
        <v>0</v>
      </c>
      <c r="N227" s="294">
        <f>'W-Dem'!N287*1000000/1000*Sum!N341*'W-Rev'!$D$247</f>
        <v>0</v>
      </c>
      <c r="O227" s="294">
        <f>'W-Dem'!O287*1000000/1000*Sum!O341*'W-Rev'!$D$247</f>
        <v>0</v>
      </c>
      <c r="P227" s="294">
        <f>'W-Dem'!P287*1000000/1000*Sum!P341*'W-Rev'!$D$247</f>
        <v>0</v>
      </c>
    </row>
    <row r="228" spans="1:16" s="3" customFormat="1" ht="12.75" customHeight="1" x14ac:dyDescent="0.25">
      <c r="A228" s="16"/>
      <c r="B228" s="88"/>
      <c r="C228" s="88" t="s">
        <v>219</v>
      </c>
      <c r="D228" s="97"/>
      <c r="E228" s="207">
        <f t="shared" ref="E228:I228" si="64">SUM(E222:E227)</f>
        <v>0</v>
      </c>
      <c r="F228" s="20">
        <f t="shared" si="64"/>
        <v>0</v>
      </c>
      <c r="G228" s="289">
        <f t="shared" si="64"/>
        <v>0</v>
      </c>
      <c r="H228" s="290">
        <f t="shared" si="64"/>
        <v>0</v>
      </c>
      <c r="I228" s="290">
        <f t="shared" si="64"/>
        <v>0</v>
      </c>
      <c r="J228" s="290">
        <f t="shared" ref="J228:P228" si="65">SUM(J222:J227)</f>
        <v>0</v>
      </c>
      <c r="K228" s="290">
        <f t="shared" si="65"/>
        <v>0</v>
      </c>
      <c r="L228" s="290">
        <f t="shared" si="65"/>
        <v>0</v>
      </c>
      <c r="M228" s="290">
        <f t="shared" si="65"/>
        <v>0</v>
      </c>
      <c r="N228" s="290">
        <f t="shared" si="65"/>
        <v>0</v>
      </c>
      <c r="O228" s="290">
        <f t="shared" si="65"/>
        <v>0</v>
      </c>
      <c r="P228" s="290">
        <f t="shared" si="65"/>
        <v>0</v>
      </c>
    </row>
    <row r="229" spans="1:16" s="3" customFormat="1" ht="12.75" customHeight="1" x14ac:dyDescent="0.25">
      <c r="A229" s="16"/>
      <c r="B229" s="88"/>
      <c r="C229" s="88"/>
      <c r="D229" s="97"/>
      <c r="E229" s="207"/>
      <c r="F229" s="20"/>
      <c r="G229" s="179"/>
      <c r="H229" s="36"/>
      <c r="I229" s="36"/>
      <c r="J229" s="36"/>
      <c r="K229" s="36"/>
      <c r="L229" s="36"/>
      <c r="M229" s="36"/>
      <c r="N229" s="36"/>
      <c r="O229" s="36"/>
      <c r="P229" s="36"/>
    </row>
    <row r="230" spans="1:16" s="3" customFormat="1" ht="12.75" customHeight="1" x14ac:dyDescent="0.25">
      <c r="A230" s="29" t="s">
        <v>297</v>
      </c>
      <c r="B230" s="310"/>
      <c r="C230" s="311"/>
      <c r="D230" s="90"/>
      <c r="E230" s="36"/>
      <c r="F230" s="13"/>
      <c r="G230" s="179"/>
      <c r="H230" s="36"/>
      <c r="I230" s="36"/>
      <c r="J230" s="36"/>
      <c r="K230" s="36"/>
      <c r="L230" s="36"/>
      <c r="M230" s="36"/>
      <c r="N230" s="36"/>
      <c r="O230" s="36"/>
      <c r="P230" s="36"/>
    </row>
    <row r="231" spans="1:16" s="3" customFormat="1" ht="12.75" customHeight="1" x14ac:dyDescent="0.25">
      <c r="A231" s="16"/>
      <c r="B231" s="88">
        <f>'W-Dem'!B291</f>
        <v>0</v>
      </c>
      <c r="C231" s="88">
        <f>'W-Dem'!C291</f>
        <v>99999999</v>
      </c>
      <c r="D231" s="97"/>
      <c r="E231" s="13">
        <f>'W-Dem'!E291*1000000/1000*Sum!E344*'W-Rev'!$D$247</f>
        <v>0</v>
      </c>
      <c r="F231" s="13">
        <f>'W-Dem'!F291*1000000/1000*Sum!F344*'W-Rev'!$D$247</f>
        <v>0</v>
      </c>
      <c r="G231" s="289">
        <f>'W-Dem'!G291*1000000/1000*Sum!G344*'W-Rev'!$D$247</f>
        <v>0</v>
      </c>
      <c r="H231" s="290">
        <f>'W-Dem'!H291*1000000/1000*Sum!H344*'W-Rev'!$D$247</f>
        <v>0</v>
      </c>
      <c r="I231" s="290">
        <f>'W-Dem'!I291*1000000/1000*Sum!I344*'W-Rev'!$D$247</f>
        <v>0</v>
      </c>
      <c r="J231" s="290">
        <f>'W-Dem'!J291*1000000/1000*Sum!J344*'W-Rev'!$D$247</f>
        <v>0</v>
      </c>
      <c r="K231" s="290">
        <f>'W-Dem'!K291*1000000/1000*Sum!K344*'W-Rev'!$D$247</f>
        <v>0</v>
      </c>
      <c r="L231" s="290">
        <f>'W-Dem'!L291*1000000/1000*Sum!L344*'W-Rev'!$D$247</f>
        <v>0</v>
      </c>
      <c r="M231" s="290">
        <f>'W-Dem'!M291*1000000/1000*Sum!M344*'W-Rev'!$D$247</f>
        <v>0</v>
      </c>
      <c r="N231" s="290">
        <f>'W-Dem'!N291*1000000/1000*Sum!N344*'W-Rev'!$D$247</f>
        <v>0</v>
      </c>
      <c r="O231" s="290">
        <f>'W-Dem'!O291*1000000/1000*Sum!O344*'W-Rev'!$D$247</f>
        <v>0</v>
      </c>
      <c r="P231" s="290">
        <f>'W-Dem'!P291*1000000/1000*Sum!P344*'W-Rev'!$D$247</f>
        <v>0</v>
      </c>
    </row>
    <row r="232" spans="1:16" s="3" customFormat="1" ht="12.75" customHeight="1" x14ac:dyDescent="0.25">
      <c r="A232" s="16"/>
      <c r="B232" s="88">
        <f>'W-Dem'!B292</f>
        <v>0</v>
      </c>
      <c r="C232" s="88">
        <f>'W-Dem'!C292</f>
        <v>0</v>
      </c>
      <c r="D232" s="97"/>
      <c r="E232" s="36">
        <f>'W-Dem'!E292*1000000/1000*Sum!E345*'W-Rev'!$D$247</f>
        <v>0</v>
      </c>
      <c r="F232" s="13">
        <f>'W-Dem'!F292*1000000/1000*Sum!F345*'W-Rev'!$D$247</f>
        <v>0</v>
      </c>
      <c r="G232" s="289">
        <f>'W-Dem'!G292*1000000/1000*Sum!G345*'W-Rev'!$D$247</f>
        <v>0</v>
      </c>
      <c r="H232" s="290">
        <f>'W-Dem'!H292*1000000/1000*Sum!H345*'W-Rev'!$D$247</f>
        <v>0</v>
      </c>
      <c r="I232" s="290">
        <f>'W-Dem'!I292*1000000/1000*Sum!I345*'W-Rev'!$D$247</f>
        <v>0</v>
      </c>
      <c r="J232" s="290">
        <f>'W-Dem'!J292*1000000/1000*Sum!J345*'W-Rev'!$D$247</f>
        <v>0</v>
      </c>
      <c r="K232" s="290">
        <f>'W-Dem'!K292*1000000/1000*Sum!K345*'W-Rev'!$D$247</f>
        <v>0</v>
      </c>
      <c r="L232" s="290">
        <f>'W-Dem'!L292*1000000/1000*Sum!L345*'W-Rev'!$D$247</f>
        <v>0</v>
      </c>
      <c r="M232" s="290">
        <f>'W-Dem'!M292*1000000/1000*Sum!M345*'W-Rev'!$D$247</f>
        <v>0</v>
      </c>
      <c r="N232" s="290">
        <f>'W-Dem'!N292*1000000/1000*Sum!N345*'W-Rev'!$D$247</f>
        <v>0</v>
      </c>
      <c r="O232" s="290">
        <f>'W-Dem'!O292*1000000/1000*Sum!O345*'W-Rev'!$D$247</f>
        <v>0</v>
      </c>
      <c r="P232" s="290">
        <f>'W-Dem'!P292*1000000/1000*Sum!P345*'W-Rev'!$D$247</f>
        <v>0</v>
      </c>
    </row>
    <row r="233" spans="1:16" s="3" customFormat="1" ht="12.75" customHeight="1" x14ac:dyDescent="0.25">
      <c r="A233" s="16"/>
      <c r="B233" s="88">
        <f>'W-Dem'!B293</f>
        <v>0</v>
      </c>
      <c r="C233" s="88">
        <f>'W-Dem'!C293</f>
        <v>0</v>
      </c>
      <c r="D233" s="97"/>
      <c r="E233" s="36">
        <f>'W-Dem'!E293*1000000/1000*Sum!E346*'W-Rev'!$D$247</f>
        <v>0</v>
      </c>
      <c r="F233" s="13">
        <f>'W-Dem'!F293*1000000/1000*Sum!F346*'W-Rev'!$D$247</f>
        <v>0</v>
      </c>
      <c r="G233" s="289">
        <f>'W-Dem'!G293*1000000/1000*Sum!G346*'W-Rev'!$D$247</f>
        <v>0</v>
      </c>
      <c r="H233" s="290">
        <f>'W-Dem'!H293*1000000/1000*Sum!H346*'W-Rev'!$D$247</f>
        <v>0</v>
      </c>
      <c r="I233" s="290">
        <f>'W-Dem'!I293*1000000/1000*Sum!I346*'W-Rev'!$D$247</f>
        <v>0</v>
      </c>
      <c r="J233" s="290">
        <f>'W-Dem'!J293*1000000/1000*Sum!J346*'W-Rev'!$D$247</f>
        <v>0</v>
      </c>
      <c r="K233" s="290">
        <f>'W-Dem'!K293*1000000/1000*Sum!K346*'W-Rev'!$D$247</f>
        <v>0</v>
      </c>
      <c r="L233" s="290">
        <f>'W-Dem'!L293*1000000/1000*Sum!L346*'W-Rev'!$D$247</f>
        <v>0</v>
      </c>
      <c r="M233" s="290">
        <f>'W-Dem'!M293*1000000/1000*Sum!M346*'W-Rev'!$D$247</f>
        <v>0</v>
      </c>
      <c r="N233" s="290">
        <f>'W-Dem'!N293*1000000/1000*Sum!N346*'W-Rev'!$D$247</f>
        <v>0</v>
      </c>
      <c r="O233" s="290">
        <f>'W-Dem'!O293*1000000/1000*Sum!O346*'W-Rev'!$D$247</f>
        <v>0</v>
      </c>
      <c r="P233" s="290">
        <f>'W-Dem'!P293*1000000/1000*Sum!P346*'W-Rev'!$D$247</f>
        <v>0</v>
      </c>
    </row>
    <row r="234" spans="1:16" s="3" customFormat="1" ht="12.75" customHeight="1" x14ac:dyDescent="0.25">
      <c r="A234" s="16"/>
      <c r="B234" s="88">
        <f>'W-Dem'!B294</f>
        <v>0</v>
      </c>
      <c r="C234" s="88">
        <f>'W-Dem'!C294</f>
        <v>0</v>
      </c>
      <c r="D234" s="97"/>
      <c r="E234" s="36">
        <f>'W-Dem'!E294*1000000/1000*Sum!E347*'W-Rev'!$D$247</f>
        <v>0</v>
      </c>
      <c r="F234" s="13">
        <f>'W-Dem'!F294*1000000/1000*Sum!F347*'W-Rev'!$D$247</f>
        <v>0</v>
      </c>
      <c r="G234" s="289">
        <f>'W-Dem'!G294*1000000/1000*Sum!G347*'W-Rev'!$D$247</f>
        <v>0</v>
      </c>
      <c r="H234" s="290">
        <f>'W-Dem'!H294*1000000/1000*Sum!H347*'W-Rev'!$D$247</f>
        <v>0</v>
      </c>
      <c r="I234" s="290">
        <f>'W-Dem'!I294*1000000/1000*Sum!I347*'W-Rev'!$D$247</f>
        <v>0</v>
      </c>
      <c r="J234" s="290">
        <f>'W-Dem'!J294*1000000/1000*Sum!J347*'W-Rev'!$D$247</f>
        <v>0</v>
      </c>
      <c r="K234" s="290">
        <f>'W-Dem'!K294*1000000/1000*Sum!K347*'W-Rev'!$D$247</f>
        <v>0</v>
      </c>
      <c r="L234" s="290">
        <f>'W-Dem'!L294*1000000/1000*Sum!L347*'W-Rev'!$D$247</f>
        <v>0</v>
      </c>
      <c r="M234" s="290">
        <f>'W-Dem'!M294*1000000/1000*Sum!M347*'W-Rev'!$D$247</f>
        <v>0</v>
      </c>
      <c r="N234" s="290">
        <f>'W-Dem'!N294*1000000/1000*Sum!N347*'W-Rev'!$D$247</f>
        <v>0</v>
      </c>
      <c r="O234" s="290">
        <f>'W-Dem'!O294*1000000/1000*Sum!O347*'W-Rev'!$D$247</f>
        <v>0</v>
      </c>
      <c r="P234" s="290">
        <f>'W-Dem'!P294*1000000/1000*Sum!P347*'W-Rev'!$D$247</f>
        <v>0</v>
      </c>
    </row>
    <row r="235" spans="1:16" s="3" customFormat="1" ht="12.75" customHeight="1" x14ac:dyDescent="0.25">
      <c r="A235" s="16"/>
      <c r="B235" s="88">
        <f>'W-Dem'!B295</f>
        <v>0</v>
      </c>
      <c r="C235" s="88">
        <f>'W-Dem'!C295</f>
        <v>0</v>
      </c>
      <c r="D235" s="97"/>
      <c r="E235" s="36">
        <f>'W-Dem'!E295*1000000/1000*Sum!E348*'W-Rev'!$D$247</f>
        <v>0</v>
      </c>
      <c r="F235" s="13">
        <f>'W-Dem'!F295*1000000/1000*Sum!F348*'W-Rev'!$D$247</f>
        <v>0</v>
      </c>
      <c r="G235" s="289">
        <f>'W-Dem'!G295*1000000/1000*Sum!G348*'W-Rev'!$D$247</f>
        <v>0</v>
      </c>
      <c r="H235" s="290">
        <f>'W-Dem'!H295*1000000/1000*Sum!H348*'W-Rev'!$D$247</f>
        <v>0</v>
      </c>
      <c r="I235" s="290">
        <f>'W-Dem'!I295*1000000/1000*Sum!I348*'W-Rev'!$D$247</f>
        <v>0</v>
      </c>
      <c r="J235" s="290">
        <f>'W-Dem'!J295*1000000/1000*Sum!J348*'W-Rev'!$D$247</f>
        <v>0</v>
      </c>
      <c r="K235" s="290">
        <f>'W-Dem'!K295*1000000/1000*Sum!K348*'W-Rev'!$D$247</f>
        <v>0</v>
      </c>
      <c r="L235" s="290">
        <f>'W-Dem'!L295*1000000/1000*Sum!L348*'W-Rev'!$D$247</f>
        <v>0</v>
      </c>
      <c r="M235" s="290">
        <f>'W-Dem'!M295*1000000/1000*Sum!M348*'W-Rev'!$D$247</f>
        <v>0</v>
      </c>
      <c r="N235" s="290">
        <f>'W-Dem'!N295*1000000/1000*Sum!N348*'W-Rev'!$D$247</f>
        <v>0</v>
      </c>
      <c r="O235" s="290">
        <f>'W-Dem'!O295*1000000/1000*Sum!O348*'W-Rev'!$D$247</f>
        <v>0</v>
      </c>
      <c r="P235" s="290">
        <f>'W-Dem'!P295*1000000/1000*Sum!P348*'W-Rev'!$D$247</f>
        <v>0</v>
      </c>
    </row>
    <row r="236" spans="1:16" s="3" customFormat="1" ht="12.75" customHeight="1" x14ac:dyDescent="0.25">
      <c r="A236" s="16"/>
      <c r="B236" s="89">
        <f>'W-Dem'!B296</f>
        <v>0</v>
      </c>
      <c r="C236" s="89">
        <f>'W-Dem'!C296</f>
        <v>0</v>
      </c>
      <c r="D236" s="291"/>
      <c r="E236" s="292">
        <f>'W-Dem'!E296*1000000/1000*Sum!E349*'W-Rev'!$D$247</f>
        <v>0</v>
      </c>
      <c r="F236" s="30">
        <f>'W-Dem'!F296*1000000/1000*Sum!F349*'W-Rev'!$D$247</f>
        <v>0</v>
      </c>
      <c r="G236" s="293">
        <f>'W-Dem'!G296*1000000/1000*Sum!G349*'W-Rev'!$D$247</f>
        <v>0</v>
      </c>
      <c r="H236" s="294">
        <f>'W-Dem'!H296*1000000/1000*Sum!H349*'W-Rev'!$D$247</f>
        <v>0</v>
      </c>
      <c r="I236" s="294">
        <f>'W-Dem'!I296*1000000/1000*Sum!I349*'W-Rev'!$D$247</f>
        <v>0</v>
      </c>
      <c r="J236" s="294">
        <f>'W-Dem'!J296*1000000/1000*Sum!J349*'W-Rev'!$D$247</f>
        <v>0</v>
      </c>
      <c r="K236" s="294">
        <f>'W-Dem'!K296*1000000/1000*Sum!K349*'W-Rev'!$D$247</f>
        <v>0</v>
      </c>
      <c r="L236" s="294">
        <f>'W-Dem'!L296*1000000/1000*Sum!L349*'W-Rev'!$D$247</f>
        <v>0</v>
      </c>
      <c r="M236" s="294">
        <f>'W-Dem'!M296*1000000/1000*Sum!M349*'W-Rev'!$D$247</f>
        <v>0</v>
      </c>
      <c r="N236" s="294">
        <f>'W-Dem'!N296*1000000/1000*Sum!N349*'W-Rev'!$D$247</f>
        <v>0</v>
      </c>
      <c r="O236" s="294">
        <f>'W-Dem'!O296*1000000/1000*Sum!O349*'W-Rev'!$D$247</f>
        <v>0</v>
      </c>
      <c r="P236" s="294">
        <f>'W-Dem'!P296*1000000/1000*Sum!P349*'W-Rev'!$D$247</f>
        <v>0</v>
      </c>
    </row>
    <row r="237" spans="1:16" s="3" customFormat="1" ht="12.75" customHeight="1" x14ac:dyDescent="0.25">
      <c r="A237" s="16"/>
      <c r="B237" s="97"/>
      <c r="C237" s="97" t="s">
        <v>219</v>
      </c>
      <c r="D237" s="97"/>
      <c r="E237" s="207">
        <f t="shared" ref="E237:I237" si="66">SUM(E231:E236)</f>
        <v>0</v>
      </c>
      <c r="F237" s="20">
        <f t="shared" si="66"/>
        <v>0</v>
      </c>
      <c r="G237" s="289">
        <f t="shared" si="66"/>
        <v>0</v>
      </c>
      <c r="H237" s="290">
        <f t="shared" si="66"/>
        <v>0</v>
      </c>
      <c r="I237" s="290">
        <f t="shared" si="66"/>
        <v>0</v>
      </c>
      <c r="J237" s="290">
        <f t="shared" ref="J237:P237" si="67">SUM(J231:J236)</f>
        <v>0</v>
      </c>
      <c r="K237" s="290">
        <f t="shared" si="67"/>
        <v>0</v>
      </c>
      <c r="L237" s="290">
        <f t="shared" si="67"/>
        <v>0</v>
      </c>
      <c r="M237" s="290">
        <f t="shared" si="67"/>
        <v>0</v>
      </c>
      <c r="N237" s="290">
        <f t="shared" si="67"/>
        <v>0</v>
      </c>
      <c r="O237" s="290">
        <f t="shared" si="67"/>
        <v>0</v>
      </c>
      <c r="P237" s="290">
        <f t="shared" si="67"/>
        <v>0</v>
      </c>
    </row>
    <row r="238" spans="1:16" s="3" customFormat="1" ht="12.75" customHeight="1" thickBot="1" x14ac:dyDescent="0.3">
      <c r="B238" s="32"/>
      <c r="C238" s="98"/>
      <c r="D238" s="98"/>
      <c r="E238" s="295"/>
      <c r="F238" s="33"/>
      <c r="G238" s="296"/>
      <c r="H238" s="297"/>
      <c r="I238" s="297"/>
      <c r="J238" s="297"/>
      <c r="K238" s="297"/>
      <c r="L238" s="297"/>
      <c r="M238" s="297"/>
      <c r="N238" s="297"/>
      <c r="O238" s="297"/>
      <c r="P238" s="297"/>
    </row>
    <row r="239" spans="1:16" s="3" customFormat="1" ht="12.75" customHeight="1" thickTop="1" x14ac:dyDescent="0.25">
      <c r="A239" s="77" t="s">
        <v>180</v>
      </c>
      <c r="B239" s="97"/>
      <c r="C239" s="97"/>
      <c r="D239" s="97"/>
      <c r="E239" s="36">
        <f t="shared" ref="E239:F239" si="68">SUM(E210,E219,E228,E237)</f>
        <v>59915.845124999993</v>
      </c>
      <c r="F239" s="13">
        <f t="shared" si="68"/>
        <v>66114.035999999993</v>
      </c>
      <c r="G239" s="289">
        <f t="shared" ref="G239:I239" si="69">SUM(G210,G219,G228,G237)</f>
        <v>115699.56299999999</v>
      </c>
      <c r="H239" s="290">
        <f t="shared" si="69"/>
        <v>127269.5193</v>
      </c>
      <c r="I239" s="290">
        <f t="shared" si="69"/>
        <v>131087.60487900002</v>
      </c>
      <c r="J239" s="290">
        <f t="shared" ref="J239:P239" si="70">SUM(J210,J219,J228,J237)</f>
        <v>135020.23302537002</v>
      </c>
      <c r="K239" s="290">
        <f t="shared" si="70"/>
        <v>139070.84001613114</v>
      </c>
      <c r="L239" s="290">
        <f t="shared" si="70"/>
        <v>143242.96521661506</v>
      </c>
      <c r="M239" s="290">
        <f t="shared" si="70"/>
        <v>147540.2541731135</v>
      </c>
      <c r="N239" s="290">
        <f t="shared" si="70"/>
        <v>151966.4617983069</v>
      </c>
      <c r="O239" s="290">
        <f t="shared" si="70"/>
        <v>156525.45565225609</v>
      </c>
      <c r="P239" s="290">
        <f t="shared" si="70"/>
        <v>161221.2193218238</v>
      </c>
    </row>
    <row r="240" spans="1:16" s="3" customFormat="1" ht="12.75" customHeight="1" x14ac:dyDescent="0.25">
      <c r="A240" s="16"/>
      <c r="B240" s="97"/>
      <c r="C240" s="97"/>
      <c r="D240" s="97"/>
      <c r="E240" s="207"/>
      <c r="F240" s="20"/>
      <c r="G240" s="289"/>
      <c r="H240" s="290"/>
      <c r="I240" s="290"/>
      <c r="J240" s="290"/>
      <c r="K240" s="290"/>
      <c r="L240" s="290"/>
      <c r="M240" s="290"/>
      <c r="N240" s="290"/>
      <c r="O240" s="290"/>
      <c r="P240" s="290"/>
    </row>
    <row r="241" spans="1:16" s="3" customFormat="1" ht="12.75" customHeight="1" x14ac:dyDescent="0.25">
      <c r="A241" s="77" t="s">
        <v>246</v>
      </c>
      <c r="C241" s="37"/>
      <c r="D241" s="37"/>
      <c r="E241" s="20"/>
      <c r="F241" s="20"/>
      <c r="G241" s="153"/>
      <c r="H241" s="13"/>
      <c r="I241" s="13"/>
      <c r="J241" s="13"/>
      <c r="K241" s="13"/>
      <c r="L241" s="13"/>
      <c r="M241" s="13"/>
      <c r="N241" s="13"/>
      <c r="O241" s="13"/>
      <c r="P241" s="13"/>
    </row>
    <row r="242" spans="1:16" s="3" customFormat="1" ht="12.75" customHeight="1" x14ac:dyDescent="0.25">
      <c r="A242" s="16"/>
      <c r="B242" s="22" t="s">
        <v>86</v>
      </c>
      <c r="C242" s="93"/>
      <c r="D242" s="93"/>
      <c r="E242" s="76">
        <f>'W-Dem'!E303*1000000/1000*Sum!E353*'W-Rev'!$D$247</f>
        <v>0</v>
      </c>
      <c r="F242" s="76">
        <f>'W-Dem'!F303*1000000/1000*Sum!F353*'W-Rev'!$D$247</f>
        <v>0</v>
      </c>
      <c r="G242" s="154">
        <f>'W-Dem'!G303*1000000/1000*Sum!G353*'W-Rev'!$D$247</f>
        <v>0</v>
      </c>
      <c r="H242" s="30">
        <f>'W-Dem'!H303*1000000/1000*Sum!H353*'W-Rev'!$D$247</f>
        <v>0</v>
      </c>
      <c r="I242" s="30">
        <f>'W-Dem'!I303*1000000/1000*Sum!I353*'W-Rev'!$D$247</f>
        <v>0</v>
      </c>
      <c r="J242" s="30">
        <f>'W-Dem'!J303*1000000/1000*Sum!J353*'W-Rev'!$D$247</f>
        <v>0</v>
      </c>
      <c r="K242" s="30">
        <f>'W-Dem'!K303*1000000/1000*Sum!K353*'W-Rev'!$D$247</f>
        <v>0</v>
      </c>
      <c r="L242" s="30">
        <f>'W-Dem'!L303*1000000/1000*Sum!L353*'W-Rev'!$D$247</f>
        <v>0</v>
      </c>
      <c r="M242" s="30">
        <f>'W-Dem'!M303*1000000/1000*Sum!M353*'W-Rev'!$D$247</f>
        <v>0</v>
      </c>
      <c r="N242" s="30">
        <f>'W-Dem'!N303*1000000/1000*Sum!N353*'W-Rev'!$D$247</f>
        <v>0</v>
      </c>
      <c r="O242" s="30">
        <f>'W-Dem'!O303*1000000/1000*Sum!O353*'W-Rev'!$D$247</f>
        <v>0</v>
      </c>
      <c r="P242" s="30">
        <f>'W-Dem'!P303*1000000/1000*Sum!P353*'W-Rev'!$D$247</f>
        <v>0</v>
      </c>
    </row>
    <row r="243" spans="1:16" s="3" customFormat="1" ht="12.75" customHeight="1" x14ac:dyDescent="0.25">
      <c r="A243" s="16"/>
      <c r="B243" s="3" t="s">
        <v>27</v>
      </c>
      <c r="C243" s="37"/>
      <c r="D243" s="37"/>
      <c r="E243" s="20">
        <f t="shared" ref="E243:I243" si="71">SUM(E242:E242)</f>
        <v>0</v>
      </c>
      <c r="F243" s="20">
        <f t="shared" si="71"/>
        <v>0</v>
      </c>
      <c r="G243" s="153">
        <f t="shared" si="71"/>
        <v>0</v>
      </c>
      <c r="H243" s="13">
        <f t="shared" si="71"/>
        <v>0</v>
      </c>
      <c r="I243" s="13">
        <f t="shared" si="71"/>
        <v>0</v>
      </c>
      <c r="J243" s="13">
        <f t="shared" ref="J243:P243" si="72">SUM(J242:J242)</f>
        <v>0</v>
      </c>
      <c r="K243" s="13">
        <f t="shared" si="72"/>
        <v>0</v>
      </c>
      <c r="L243" s="13">
        <f t="shared" si="72"/>
        <v>0</v>
      </c>
      <c r="M243" s="13">
        <f t="shared" si="72"/>
        <v>0</v>
      </c>
      <c r="N243" s="13">
        <f t="shared" si="72"/>
        <v>0</v>
      </c>
      <c r="O243" s="13">
        <f t="shared" si="72"/>
        <v>0</v>
      </c>
      <c r="P243" s="13">
        <f t="shared" si="72"/>
        <v>0</v>
      </c>
    </row>
    <row r="244" spans="1:16" s="3" customFormat="1" ht="12.75" customHeight="1" thickBot="1" x14ac:dyDescent="0.3">
      <c r="A244" s="31"/>
      <c r="B244" s="98"/>
      <c r="C244" s="98"/>
      <c r="D244" s="98"/>
      <c r="E244" s="295"/>
      <c r="F244" s="33"/>
      <c r="G244" s="296"/>
      <c r="H244" s="297"/>
      <c r="I244" s="297"/>
      <c r="J244" s="297"/>
      <c r="K244" s="297"/>
      <c r="L244" s="297"/>
      <c r="M244" s="297"/>
      <c r="N244" s="297"/>
      <c r="O244" s="297"/>
      <c r="P244" s="297"/>
    </row>
    <row r="245" spans="1:16" s="3" customFormat="1" ht="12.75" customHeight="1" thickTop="1" x14ac:dyDescent="0.25">
      <c r="A245" s="72" t="s">
        <v>184</v>
      </c>
      <c r="B245" s="97"/>
      <c r="C245" s="97"/>
      <c r="D245" s="97"/>
      <c r="E245" s="13">
        <f t="shared" ref="E245:F245" si="73">SUM(E199,E239,E243)</f>
        <v>948360.39367499994</v>
      </c>
      <c r="F245" s="13">
        <f t="shared" si="73"/>
        <v>954558.58454999991</v>
      </c>
      <c r="G245" s="289">
        <f t="shared" ref="G245:I245" si="74">SUM(G199,G239,G243)</f>
        <v>1673439.0047909999</v>
      </c>
      <c r="H245" s="290">
        <f t="shared" si="74"/>
        <v>1839006.0161729997</v>
      </c>
      <c r="I245" s="290">
        <f t="shared" si="74"/>
        <v>1896130.7746649997</v>
      </c>
      <c r="J245" s="290">
        <f t="shared" ref="J245:P245" si="75">SUM(J199,J239,J243)</f>
        <v>1953370.0757243696</v>
      </c>
      <c r="K245" s="290">
        <f t="shared" si="75"/>
        <v>2010727.3556281307</v>
      </c>
      <c r="L245" s="290">
        <f t="shared" si="75"/>
        <v>2068206.1537416147</v>
      </c>
      <c r="M245" s="290">
        <f t="shared" si="75"/>
        <v>2131733.0792681132</v>
      </c>
      <c r="N245" s="290">
        <f t="shared" si="75"/>
        <v>2195388.9234633069</v>
      </c>
      <c r="O245" s="290">
        <f t="shared" si="75"/>
        <v>2259177.553887256</v>
      </c>
      <c r="P245" s="290">
        <f t="shared" si="75"/>
        <v>2329025.9177838233</v>
      </c>
    </row>
    <row r="246" spans="1:16" s="3" customFormat="1" ht="12.75" customHeight="1" thickBot="1" x14ac:dyDescent="0.3">
      <c r="A246" s="14"/>
      <c r="B246" s="91"/>
      <c r="C246" s="91"/>
      <c r="D246" s="91"/>
      <c r="E246" s="9"/>
      <c r="F246" s="9"/>
      <c r="G246" s="180"/>
      <c r="H246" s="9"/>
      <c r="I246" s="9"/>
      <c r="J246" s="9"/>
      <c r="K246" s="9"/>
      <c r="L246" s="9"/>
      <c r="M246" s="9"/>
      <c r="N246" s="9"/>
      <c r="O246" s="9"/>
      <c r="P246" s="9"/>
    </row>
    <row r="247" spans="1:16" s="3" customFormat="1" ht="12.75" customHeight="1" x14ac:dyDescent="0.25">
      <c r="A247" s="62" t="s">
        <v>306</v>
      </c>
      <c r="B247" s="37"/>
      <c r="C247" s="37"/>
      <c r="D247" s="624">
        <v>0.97</v>
      </c>
      <c r="E247" s="2"/>
      <c r="F247" s="2"/>
      <c r="G247" s="430"/>
      <c r="H247" s="2"/>
      <c r="I247" s="2"/>
      <c r="J247" s="2"/>
      <c r="K247" s="2"/>
      <c r="L247" s="2"/>
      <c r="M247" s="2"/>
      <c r="N247" s="2"/>
      <c r="O247" s="2"/>
      <c r="P247" s="2"/>
    </row>
    <row r="248" spans="1:16" s="3" customFormat="1" ht="12.75" customHeight="1" x14ac:dyDescent="0.25">
      <c r="A248" s="16"/>
      <c r="B248" s="37"/>
      <c r="C248" s="37"/>
      <c r="D248" s="37"/>
      <c r="E248" s="2"/>
      <c r="F248" s="2"/>
      <c r="G248" s="2"/>
      <c r="H248" s="2"/>
      <c r="I248" s="2"/>
      <c r="J248" s="2"/>
      <c r="K248" s="2"/>
      <c r="L248" s="2"/>
      <c r="M248" s="2"/>
      <c r="N248" s="2"/>
      <c r="O248" s="2"/>
      <c r="P248" s="2"/>
    </row>
    <row r="249" spans="1:16" s="3" customFormat="1" ht="12.75" customHeight="1" x14ac:dyDescent="0.25">
      <c r="A249" s="16"/>
      <c r="B249" s="37"/>
      <c r="C249" s="37"/>
      <c r="D249" s="37"/>
      <c r="E249" s="2"/>
      <c r="F249" s="2"/>
      <c r="G249" s="2"/>
      <c r="H249" s="2"/>
      <c r="I249" s="2"/>
      <c r="J249" s="2"/>
      <c r="K249" s="2"/>
      <c r="L249" s="2"/>
      <c r="M249" s="2"/>
      <c r="N249" s="2"/>
      <c r="O249" s="2"/>
      <c r="P249" s="2"/>
    </row>
  </sheetData>
  <mergeCells count="3">
    <mergeCell ref="A5:C5"/>
    <mergeCell ref="A51:C51"/>
    <mergeCell ref="A159:C159"/>
  </mergeCells>
  <phoneticPr fontId="13" type="noConversion"/>
  <pageMargins left="0.75" right="0.75" top="1" bottom="1" header="0.5" footer="0.5"/>
  <pageSetup scale="68"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indexed="52"/>
  </sheetPr>
  <dimension ref="A1:W83"/>
  <sheetViews>
    <sheetView zoomScale="98" zoomScaleNormal="100" workbookViewId="0">
      <selection activeCell="A48" sqref="A48"/>
    </sheetView>
  </sheetViews>
  <sheetFormatPr defaultRowHeight="12.75" customHeight="1" x14ac:dyDescent="0.25"/>
  <cols>
    <col min="1" max="1" width="11.6640625" customWidth="1"/>
    <col min="2" max="2" width="10.6640625" customWidth="1"/>
    <col min="3" max="3" width="12.5546875" customWidth="1"/>
    <col min="4" max="4" width="10.6640625" customWidth="1"/>
    <col min="5" max="16" width="12.6640625" customWidth="1"/>
    <col min="17" max="18" width="11.5546875" bestFit="1" customWidth="1"/>
  </cols>
  <sheetData>
    <row r="1" spans="1:23" ht="12.75" customHeight="1" x14ac:dyDescent="0.25">
      <c r="A1" s="139" t="s">
        <v>16</v>
      </c>
      <c r="B1" s="108"/>
      <c r="C1" s="108"/>
      <c r="D1" s="108"/>
      <c r="E1" s="108"/>
      <c r="F1" s="108"/>
      <c r="G1" s="108"/>
      <c r="H1" s="108"/>
      <c r="I1" s="108"/>
      <c r="J1" s="63"/>
      <c r="K1" s="63"/>
    </row>
    <row r="2" spans="1:23" ht="12.75" customHeight="1" x14ac:dyDescent="0.25">
      <c r="A2" s="139" t="s">
        <v>81</v>
      </c>
      <c r="B2" s="108"/>
      <c r="C2" s="108"/>
      <c r="D2" s="108"/>
      <c r="E2" s="108"/>
      <c r="F2" s="108"/>
      <c r="G2" s="108"/>
      <c r="H2" s="108"/>
      <c r="I2" s="108"/>
      <c r="J2" s="108"/>
      <c r="K2" s="108"/>
    </row>
    <row r="3" spans="1:23" ht="12.75" customHeight="1" x14ac:dyDescent="0.25">
      <c r="A3" s="139" t="s">
        <v>266</v>
      </c>
      <c r="B3" s="108"/>
      <c r="C3" s="108"/>
      <c r="D3" s="256"/>
      <c r="E3" s="108"/>
      <c r="F3" s="108"/>
      <c r="G3" s="108"/>
      <c r="H3" s="108"/>
      <c r="I3" s="108"/>
      <c r="J3" s="108"/>
      <c r="K3" s="108"/>
    </row>
    <row r="4" spans="1:23" ht="12.75" customHeight="1" thickBot="1" x14ac:dyDescent="0.3">
      <c r="A4" s="78" t="s">
        <v>428</v>
      </c>
      <c r="B4" s="115"/>
      <c r="C4" s="115"/>
      <c r="D4" s="115"/>
      <c r="E4" s="115"/>
      <c r="F4" s="115"/>
      <c r="G4" s="115"/>
      <c r="H4" s="115"/>
      <c r="I4" s="115"/>
      <c r="J4" s="115"/>
      <c r="K4" s="108"/>
    </row>
    <row r="5" spans="1:23" ht="12.75" customHeight="1" x14ac:dyDescent="0.25">
      <c r="A5" s="645" t="s">
        <v>215</v>
      </c>
      <c r="B5" s="645"/>
      <c r="C5" s="645"/>
      <c r="D5" s="214"/>
      <c r="E5" s="215">
        <f>Sum!E$5</f>
        <v>2023</v>
      </c>
      <c r="F5" s="215">
        <f>Sum!F$5</f>
        <v>2024</v>
      </c>
      <c r="G5" s="216">
        <f>Sum!G$5</f>
        <v>2025</v>
      </c>
      <c r="H5" s="215">
        <f>Sum!H$5</f>
        <v>2026</v>
      </c>
      <c r="I5" s="215">
        <f>Sum!I$5</f>
        <v>2027</v>
      </c>
      <c r="J5" s="215">
        <f>Sum!J$5</f>
        <v>2028</v>
      </c>
      <c r="K5" s="281">
        <f>Sum!K$5</f>
        <v>2029</v>
      </c>
      <c r="L5" s="281">
        <f>Sum!L$5</f>
        <v>2030</v>
      </c>
      <c r="M5" s="281">
        <f>Sum!M$5</f>
        <v>2031</v>
      </c>
      <c r="N5" s="281">
        <f>Sum!N$5</f>
        <v>2032</v>
      </c>
      <c r="O5" s="281">
        <f>Sum!O$5</f>
        <v>2033</v>
      </c>
      <c r="P5" s="281">
        <f>Sum!P$5</f>
        <v>2034</v>
      </c>
    </row>
    <row r="6" spans="1:23" ht="12.75" customHeight="1" x14ac:dyDescent="0.25">
      <c r="A6" s="108"/>
      <c r="B6" s="108"/>
      <c r="C6" s="108"/>
      <c r="D6" s="108"/>
      <c r="E6" s="108"/>
      <c r="F6" s="108"/>
      <c r="G6" s="255"/>
      <c r="H6" s="108"/>
      <c r="I6" s="108"/>
      <c r="J6" s="108"/>
      <c r="K6" s="108"/>
      <c r="L6" s="108"/>
      <c r="M6" s="108"/>
      <c r="N6" s="108"/>
      <c r="O6" s="108"/>
      <c r="P6" s="108"/>
    </row>
    <row r="7" spans="1:23" ht="12.75" customHeight="1" x14ac:dyDescent="0.25">
      <c r="A7" s="139" t="s">
        <v>18</v>
      </c>
      <c r="B7" s="108"/>
      <c r="C7" s="108"/>
      <c r="D7" s="108"/>
      <c r="E7" s="108"/>
      <c r="F7" s="108"/>
      <c r="G7" s="255"/>
      <c r="H7" s="108"/>
      <c r="I7" s="108"/>
      <c r="J7" s="108"/>
      <c r="K7" s="108"/>
      <c r="L7" s="108"/>
      <c r="M7" s="108"/>
      <c r="N7" s="108"/>
      <c r="O7" s="108"/>
      <c r="P7" s="108"/>
    </row>
    <row r="8" spans="1:23" ht="12.75" customHeight="1" x14ac:dyDescent="0.25">
      <c r="A8" s="139"/>
      <c r="B8" s="108" t="s">
        <v>91</v>
      </c>
      <c r="C8" s="108"/>
      <c r="D8" s="108"/>
      <c r="E8" s="108"/>
      <c r="F8" s="108"/>
      <c r="G8" s="255"/>
      <c r="H8" s="108"/>
      <c r="I8" s="108"/>
      <c r="J8" s="108"/>
      <c r="K8" s="108"/>
      <c r="L8" s="108"/>
      <c r="M8" s="108"/>
      <c r="N8" s="108"/>
      <c r="O8" s="108"/>
      <c r="P8" s="108"/>
    </row>
    <row r="9" spans="1:23" ht="12.75" customHeight="1" x14ac:dyDescent="0.25">
      <c r="A9" s="139"/>
      <c r="B9" s="108" t="s">
        <v>191</v>
      </c>
      <c r="C9" s="108"/>
      <c r="D9" s="108"/>
      <c r="E9" s="108"/>
      <c r="F9" s="108"/>
      <c r="G9" s="255"/>
      <c r="H9" s="108"/>
      <c r="I9" s="108"/>
      <c r="J9" s="108"/>
      <c r="K9" s="108"/>
      <c r="L9" s="108"/>
      <c r="M9" s="108"/>
      <c r="N9" s="108"/>
      <c r="O9" s="108"/>
      <c r="P9" s="108"/>
    </row>
    <row r="10" spans="1:23" ht="12.75" customHeight="1" x14ac:dyDescent="0.25">
      <c r="A10" s="139"/>
      <c r="B10" s="108" t="s">
        <v>15</v>
      </c>
      <c r="C10" s="108"/>
      <c r="D10" s="108"/>
      <c r="E10" s="114">
        <f>E53+E68</f>
        <v>1454739.4386</v>
      </c>
      <c r="F10" s="114">
        <f t="shared" ref="F10:I11" si="0">F53+F68</f>
        <v>1454739.4385999998</v>
      </c>
      <c r="G10" s="257">
        <f t="shared" si="0"/>
        <v>1891161.27018</v>
      </c>
      <c r="H10" s="114">
        <f t="shared" si="0"/>
        <v>2458509.651234</v>
      </c>
      <c r="I10" s="114">
        <f t="shared" si="0"/>
        <v>2458509.651234</v>
      </c>
      <c r="J10" s="114">
        <f t="shared" ref="J10:P10" si="1">J53+J68</f>
        <v>2458509.651234</v>
      </c>
      <c r="K10" s="114">
        <f t="shared" si="1"/>
        <v>2458509.651234</v>
      </c>
      <c r="L10" s="114">
        <f t="shared" si="1"/>
        <v>2458509.651234</v>
      </c>
      <c r="M10" s="114">
        <f t="shared" si="1"/>
        <v>2458509.651234</v>
      </c>
      <c r="N10" s="114">
        <f t="shared" si="1"/>
        <v>2458509.651234</v>
      </c>
      <c r="O10" s="114">
        <f t="shared" si="1"/>
        <v>2458509.651234</v>
      </c>
      <c r="P10" s="114">
        <f t="shared" si="1"/>
        <v>2458509.651234</v>
      </c>
      <c r="S10" s="387"/>
      <c r="T10" s="387"/>
      <c r="U10" s="387"/>
      <c r="V10" s="387"/>
      <c r="W10" s="387"/>
    </row>
    <row r="11" spans="1:23" ht="12.75" customHeight="1" x14ac:dyDescent="0.25">
      <c r="A11" s="139"/>
      <c r="B11" s="432" t="s">
        <v>342</v>
      </c>
      <c r="C11" s="108"/>
      <c r="D11" s="108"/>
      <c r="E11" s="114">
        <f>E54+E69</f>
        <v>1011288.7872</v>
      </c>
      <c r="F11" s="114">
        <f t="shared" si="0"/>
        <v>1011288.7871999999</v>
      </c>
      <c r="G11" s="257">
        <f t="shared" si="0"/>
        <v>1314675.4233599999</v>
      </c>
      <c r="H11" s="114">
        <f t="shared" si="0"/>
        <v>1709078.0503679998</v>
      </c>
      <c r="I11" s="114">
        <f t="shared" si="0"/>
        <v>1709078.0503679998</v>
      </c>
      <c r="J11" s="114">
        <f t="shared" ref="J11:P11" si="2">J54+J69</f>
        <v>1709078.0503679998</v>
      </c>
      <c r="K11" s="114">
        <f t="shared" si="2"/>
        <v>1709078.0503679998</v>
      </c>
      <c r="L11" s="114">
        <f t="shared" si="2"/>
        <v>1709078.0503679998</v>
      </c>
      <c r="M11" s="114">
        <f t="shared" si="2"/>
        <v>1709078.0503679998</v>
      </c>
      <c r="N11" s="114">
        <f t="shared" si="2"/>
        <v>1709078.0503679998</v>
      </c>
      <c r="O11" s="114">
        <f t="shared" si="2"/>
        <v>1709078.0503679998</v>
      </c>
      <c r="P11" s="114">
        <f t="shared" si="2"/>
        <v>1709078.0503679998</v>
      </c>
      <c r="S11" s="387"/>
      <c r="T11" s="387"/>
      <c r="U11" s="387"/>
      <c r="V11" s="387"/>
      <c r="W11" s="387"/>
    </row>
    <row r="12" spans="1:23" ht="12.75" customHeight="1" x14ac:dyDescent="0.25">
      <c r="A12" s="139"/>
      <c r="B12" s="560" t="s">
        <v>296</v>
      </c>
      <c r="C12" s="136"/>
      <c r="D12" s="136"/>
      <c r="E12" s="637">
        <f>E55+E70</f>
        <v>0</v>
      </c>
      <c r="F12" s="637">
        <f t="shared" ref="F12:P12" si="3">F55+F70</f>
        <v>0</v>
      </c>
      <c r="G12" s="638">
        <f t="shared" si="3"/>
        <v>0</v>
      </c>
      <c r="H12" s="637">
        <f t="shared" si="3"/>
        <v>0</v>
      </c>
      <c r="I12" s="637">
        <f t="shared" si="3"/>
        <v>0</v>
      </c>
      <c r="J12" s="637">
        <f t="shared" si="3"/>
        <v>0</v>
      </c>
      <c r="K12" s="637">
        <f t="shared" si="3"/>
        <v>0</v>
      </c>
      <c r="L12" s="637">
        <f t="shared" si="3"/>
        <v>0</v>
      </c>
      <c r="M12" s="637">
        <f t="shared" si="3"/>
        <v>0</v>
      </c>
      <c r="N12" s="637">
        <f t="shared" si="3"/>
        <v>0</v>
      </c>
      <c r="O12" s="637">
        <f t="shared" si="3"/>
        <v>0</v>
      </c>
      <c r="P12" s="637">
        <f t="shared" si="3"/>
        <v>0</v>
      </c>
      <c r="S12" s="387"/>
      <c r="T12" s="387"/>
      <c r="U12" s="387"/>
      <c r="V12" s="387"/>
      <c r="W12" s="387"/>
    </row>
    <row r="13" spans="1:23" ht="12.75" customHeight="1" x14ac:dyDescent="0.25">
      <c r="A13" s="139"/>
      <c r="B13" s="108" t="s">
        <v>84</v>
      </c>
      <c r="C13" s="108"/>
      <c r="D13" s="108"/>
      <c r="E13" s="114">
        <f t="shared" ref="E13:I13" si="4">SUM(E10:E12)</f>
        <v>2466028.2258000001</v>
      </c>
      <c r="F13" s="114">
        <f t="shared" si="4"/>
        <v>2466028.2257999997</v>
      </c>
      <c r="G13" s="257">
        <f t="shared" si="4"/>
        <v>3205836.6935399999</v>
      </c>
      <c r="H13" s="114">
        <f t="shared" si="4"/>
        <v>4167587.7016019998</v>
      </c>
      <c r="I13" s="114">
        <f t="shared" si="4"/>
        <v>4167587.7016019998</v>
      </c>
      <c r="J13" s="114">
        <f t="shared" ref="J13:P13" si="5">SUM(J10:J12)</f>
        <v>4167587.7016019998</v>
      </c>
      <c r="K13" s="114">
        <f t="shared" si="5"/>
        <v>4167587.7016019998</v>
      </c>
      <c r="L13" s="114">
        <f t="shared" si="5"/>
        <v>4167587.7016019998</v>
      </c>
      <c r="M13" s="114">
        <f t="shared" si="5"/>
        <v>4167587.7016019998</v>
      </c>
      <c r="N13" s="114">
        <f t="shared" si="5"/>
        <v>4167587.7016019998</v>
      </c>
      <c r="O13" s="114">
        <f t="shared" si="5"/>
        <v>4167587.7016019998</v>
      </c>
      <c r="P13" s="114">
        <f t="shared" si="5"/>
        <v>4167587.7016019998</v>
      </c>
    </row>
    <row r="14" spans="1:23" ht="12.75" customHeight="1" x14ac:dyDescent="0.25">
      <c r="A14" s="139"/>
      <c r="B14" s="108"/>
      <c r="C14" s="108"/>
      <c r="D14" s="108"/>
      <c r="E14" s="108"/>
      <c r="F14" s="108"/>
      <c r="G14" s="255"/>
      <c r="H14" s="108"/>
      <c r="I14" s="108"/>
      <c r="J14" s="108"/>
      <c r="K14" s="108"/>
      <c r="L14" s="108"/>
      <c r="M14" s="108"/>
      <c r="N14" s="108"/>
      <c r="O14" s="108"/>
      <c r="P14" s="108"/>
    </row>
    <row r="15" spans="1:23" ht="12.75" customHeight="1" x14ac:dyDescent="0.25">
      <c r="A15" s="139"/>
      <c r="B15" s="108" t="s">
        <v>0</v>
      </c>
      <c r="C15" s="108"/>
      <c r="D15" s="108"/>
      <c r="E15" s="108"/>
      <c r="F15" s="108"/>
      <c r="G15" s="255"/>
      <c r="H15" s="108"/>
      <c r="I15" s="108"/>
      <c r="J15" s="108"/>
      <c r="K15" s="108"/>
      <c r="L15" s="108"/>
      <c r="M15" s="108"/>
      <c r="N15" s="108"/>
      <c r="O15" s="108"/>
      <c r="P15" s="108"/>
    </row>
    <row r="16" spans="1:23" ht="12.75" customHeight="1" x14ac:dyDescent="0.25">
      <c r="A16" s="139"/>
      <c r="B16" s="108" t="s">
        <v>15</v>
      </c>
      <c r="C16" s="108"/>
      <c r="D16" s="108"/>
      <c r="E16" s="114">
        <f t="shared" ref="E16:I18" si="6">E59+E74</f>
        <v>99033.12</v>
      </c>
      <c r="F16" s="114">
        <f t="shared" si="6"/>
        <v>109749.02039999999</v>
      </c>
      <c r="G16" s="257">
        <f t="shared" si="6"/>
        <v>142673.72652</v>
      </c>
      <c r="H16" s="114">
        <f t="shared" si="6"/>
        <v>185475.844476</v>
      </c>
      <c r="I16" s="114">
        <f t="shared" si="6"/>
        <v>185475.844476</v>
      </c>
      <c r="J16" s="114">
        <f t="shared" ref="J16:P16" si="7">J59+J74</f>
        <v>185475.844476</v>
      </c>
      <c r="K16" s="114">
        <f t="shared" si="7"/>
        <v>185475.844476</v>
      </c>
      <c r="L16" s="114">
        <f t="shared" si="7"/>
        <v>185475.844476</v>
      </c>
      <c r="M16" s="114">
        <f t="shared" si="7"/>
        <v>185475.844476</v>
      </c>
      <c r="N16" s="114">
        <f t="shared" si="7"/>
        <v>185475.844476</v>
      </c>
      <c r="O16" s="114">
        <f t="shared" si="7"/>
        <v>185475.844476</v>
      </c>
      <c r="P16" s="114">
        <f t="shared" si="7"/>
        <v>185475.844476</v>
      </c>
    </row>
    <row r="17" spans="1:16" ht="12.75" customHeight="1" x14ac:dyDescent="0.25">
      <c r="A17" s="139"/>
      <c r="B17" s="432" t="s">
        <v>342</v>
      </c>
      <c r="C17" s="108"/>
      <c r="D17" s="108"/>
      <c r="E17" s="114">
        <f t="shared" si="6"/>
        <v>279.36</v>
      </c>
      <c r="F17" s="114">
        <f t="shared" si="6"/>
        <v>1398.1968000000002</v>
      </c>
      <c r="G17" s="257">
        <f t="shared" si="6"/>
        <v>1817.6558399999999</v>
      </c>
      <c r="H17" s="114">
        <f t="shared" si="6"/>
        <v>2362.9525920000001</v>
      </c>
      <c r="I17" s="114">
        <f t="shared" si="6"/>
        <v>2362.9525920000001</v>
      </c>
      <c r="J17" s="114">
        <f t="shared" ref="J17:P17" si="8">J60+J75</f>
        <v>2362.9525920000001</v>
      </c>
      <c r="K17" s="114">
        <f t="shared" si="8"/>
        <v>2362.9525920000001</v>
      </c>
      <c r="L17" s="114">
        <f t="shared" si="8"/>
        <v>2362.9525920000001</v>
      </c>
      <c r="M17" s="114">
        <f t="shared" si="8"/>
        <v>2362.9525920000001</v>
      </c>
      <c r="N17" s="114">
        <f t="shared" si="8"/>
        <v>2362.9525920000001</v>
      </c>
      <c r="O17" s="114">
        <f t="shared" si="8"/>
        <v>2362.9525920000001</v>
      </c>
      <c r="P17" s="114">
        <f t="shared" si="8"/>
        <v>2362.9525920000001</v>
      </c>
    </row>
    <row r="18" spans="1:16" ht="12.75" customHeight="1" x14ac:dyDescent="0.25">
      <c r="A18" s="139"/>
      <c r="B18" s="560" t="s">
        <v>296</v>
      </c>
      <c r="C18" s="136"/>
      <c r="D18" s="136"/>
      <c r="E18" s="112">
        <f t="shared" si="6"/>
        <v>0</v>
      </c>
      <c r="F18" s="112">
        <f t="shared" si="6"/>
        <v>0</v>
      </c>
      <c r="G18" s="259">
        <f t="shared" si="6"/>
        <v>0</v>
      </c>
      <c r="H18" s="112">
        <f t="shared" si="6"/>
        <v>0</v>
      </c>
      <c r="I18" s="112">
        <f t="shared" si="6"/>
        <v>0</v>
      </c>
      <c r="J18" s="112">
        <f t="shared" ref="J18:P18" si="9">J61+J76</f>
        <v>0</v>
      </c>
      <c r="K18" s="112">
        <f t="shared" si="9"/>
        <v>0</v>
      </c>
      <c r="L18" s="112">
        <f t="shared" si="9"/>
        <v>0</v>
      </c>
      <c r="M18" s="112">
        <f t="shared" si="9"/>
        <v>0</v>
      </c>
      <c r="N18" s="112">
        <f t="shared" si="9"/>
        <v>0</v>
      </c>
      <c r="O18" s="112">
        <f t="shared" si="9"/>
        <v>0</v>
      </c>
      <c r="P18" s="112">
        <f t="shared" si="9"/>
        <v>0</v>
      </c>
    </row>
    <row r="19" spans="1:16" ht="12.75" customHeight="1" x14ac:dyDescent="0.25">
      <c r="A19" s="139"/>
      <c r="B19" s="108" t="s">
        <v>84</v>
      </c>
      <c r="C19" s="108"/>
      <c r="D19" s="108"/>
      <c r="E19" s="114">
        <f t="shared" ref="E19:I19" si="10">SUM(E16:E18)</f>
        <v>99312.48</v>
      </c>
      <c r="F19" s="114">
        <f t="shared" si="10"/>
        <v>111147.2172</v>
      </c>
      <c r="G19" s="257">
        <f t="shared" si="10"/>
        <v>144491.38235999999</v>
      </c>
      <c r="H19" s="114">
        <f t="shared" si="10"/>
        <v>187838.79706799999</v>
      </c>
      <c r="I19" s="114">
        <f t="shared" si="10"/>
        <v>187838.79706799999</v>
      </c>
      <c r="J19" s="114">
        <f t="shared" ref="J19:P19" si="11">SUM(J16:J18)</f>
        <v>187838.79706799999</v>
      </c>
      <c r="K19" s="114">
        <f t="shared" si="11"/>
        <v>187838.79706799999</v>
      </c>
      <c r="L19" s="114">
        <f t="shared" si="11"/>
        <v>187838.79706799999</v>
      </c>
      <c r="M19" s="114">
        <f t="shared" si="11"/>
        <v>187838.79706799999</v>
      </c>
      <c r="N19" s="114">
        <f t="shared" si="11"/>
        <v>187838.79706799999</v>
      </c>
      <c r="O19" s="114">
        <f t="shared" si="11"/>
        <v>187838.79706799999</v>
      </c>
      <c r="P19" s="114">
        <f t="shared" si="11"/>
        <v>187838.79706799999</v>
      </c>
    </row>
    <row r="20" spans="1:16" ht="12.75" customHeight="1" thickBot="1" x14ac:dyDescent="0.3">
      <c r="A20" s="139"/>
      <c r="B20" s="226"/>
      <c r="C20" s="226"/>
      <c r="D20" s="226"/>
      <c r="E20" s="535"/>
      <c r="F20" s="401">
        <v>2600000</v>
      </c>
      <c r="G20" s="375"/>
      <c r="H20" s="226"/>
      <c r="I20" s="226"/>
      <c r="J20" s="226"/>
      <c r="K20" s="226"/>
      <c r="L20" s="226"/>
      <c r="M20" s="226"/>
      <c r="N20" s="226"/>
      <c r="O20" s="226"/>
      <c r="P20" s="226"/>
    </row>
    <row r="21" spans="1:16" ht="12.75" customHeight="1" thickTop="1" x14ac:dyDescent="0.25">
      <c r="A21" s="134"/>
      <c r="B21" s="108" t="s">
        <v>263</v>
      </c>
      <c r="C21" s="108"/>
      <c r="D21" s="108"/>
      <c r="E21" s="324">
        <f t="shared" ref="E21:F21" si="12">E13+E19</f>
        <v>2565340.7058000001</v>
      </c>
      <c r="F21" s="324">
        <f t="shared" si="12"/>
        <v>2577175.4429999995</v>
      </c>
      <c r="G21" s="386">
        <f>G13+G19</f>
        <v>3350328.0759000001</v>
      </c>
      <c r="H21" s="114">
        <f>H13+H19</f>
        <v>4355426.4986699997</v>
      </c>
      <c r="I21" s="114">
        <f>I13+I19</f>
        <v>4355426.4986699997</v>
      </c>
      <c r="J21" s="114">
        <f t="shared" ref="J21:P21" si="13">J13+J19</f>
        <v>4355426.4986699997</v>
      </c>
      <c r="K21" s="114">
        <f t="shared" si="13"/>
        <v>4355426.4986699997</v>
      </c>
      <c r="L21" s="114">
        <f t="shared" si="13"/>
        <v>4355426.4986699997</v>
      </c>
      <c r="M21" s="114">
        <f t="shared" si="13"/>
        <v>4355426.4986699997</v>
      </c>
      <c r="N21" s="114">
        <f t="shared" si="13"/>
        <v>4355426.4986699997</v>
      </c>
      <c r="O21" s="114">
        <f t="shared" si="13"/>
        <v>4355426.4986699997</v>
      </c>
      <c r="P21" s="114">
        <f t="shared" si="13"/>
        <v>4355426.4986699997</v>
      </c>
    </row>
    <row r="22" spans="1:16" ht="12.75" customHeight="1" x14ac:dyDescent="0.25">
      <c r="A22" s="134"/>
      <c r="B22" s="108"/>
      <c r="C22" s="108"/>
      <c r="D22" s="108"/>
      <c r="E22" s="324"/>
      <c r="F22" s="324"/>
      <c r="G22" s="400"/>
      <c r="H22" s="324"/>
      <c r="I22" s="324"/>
      <c r="J22" s="324"/>
      <c r="K22" s="324"/>
      <c r="L22" s="324"/>
      <c r="M22" s="324"/>
      <c r="N22" s="324"/>
      <c r="O22" s="324"/>
      <c r="P22" s="324"/>
    </row>
    <row r="23" spans="1:16" ht="12.75" customHeight="1" x14ac:dyDescent="0.25">
      <c r="A23" s="139" t="s">
        <v>20</v>
      </c>
      <c r="B23" s="108"/>
      <c r="C23" s="108"/>
      <c r="D23" s="108"/>
      <c r="E23" s="324"/>
      <c r="F23" s="324"/>
      <c r="G23" s="400"/>
      <c r="H23" s="324"/>
      <c r="I23" s="324"/>
      <c r="J23" s="324"/>
      <c r="K23" s="324"/>
      <c r="L23" s="324"/>
      <c r="M23" s="324"/>
      <c r="N23" s="324"/>
      <c r="O23" s="324"/>
      <c r="P23" s="324"/>
    </row>
    <row r="24" spans="1:16" ht="12.75" customHeight="1" x14ac:dyDescent="0.25">
      <c r="A24" s="139"/>
      <c r="B24" s="432" t="s">
        <v>374</v>
      </c>
      <c r="C24" s="108"/>
      <c r="D24" s="108"/>
      <c r="E24" s="324">
        <f>'T-Rev'!E33*'T-Rev'!$S33</f>
        <v>0</v>
      </c>
      <c r="F24" s="324">
        <f>'T-Rev'!F33*'T-Rev'!$S33</f>
        <v>0</v>
      </c>
      <c r="G24" s="386">
        <f>'T-Rev'!G33*'T-Rev'!$S33</f>
        <v>0</v>
      </c>
      <c r="H24" s="114">
        <f>'T-Rev'!H33*'T-Rev'!$S33</f>
        <v>0</v>
      </c>
      <c r="I24" s="114">
        <f>'T-Rev'!I33*'T-Rev'!$S33</f>
        <v>0</v>
      </c>
      <c r="J24" s="114">
        <f>'T-Rev'!J33*'T-Rev'!$S33</f>
        <v>0</v>
      </c>
      <c r="K24" s="114">
        <f>'T-Rev'!K33*'T-Rev'!$S33</f>
        <v>0</v>
      </c>
      <c r="L24" s="114">
        <f>'T-Rev'!L33*'T-Rev'!$S33</f>
        <v>0</v>
      </c>
      <c r="M24" s="114">
        <f>'T-Rev'!M33*'T-Rev'!$S33</f>
        <v>0</v>
      </c>
      <c r="N24" s="114">
        <f>'T-Rev'!N33*'T-Rev'!$S33</f>
        <v>0</v>
      </c>
      <c r="O24" s="114">
        <f>'T-Rev'!O33*'T-Rev'!$S33</f>
        <v>0</v>
      </c>
      <c r="P24" s="114">
        <f>'T-Rev'!P33*'T-Rev'!$S33</f>
        <v>0</v>
      </c>
    </row>
    <row r="25" spans="1:16" ht="12.75" customHeight="1" x14ac:dyDescent="0.25">
      <c r="A25" s="432"/>
      <c r="B25" s="432" t="s">
        <v>375</v>
      </c>
      <c r="C25" s="108"/>
      <c r="D25" s="108"/>
      <c r="E25" s="324">
        <f>'T-Rev'!E34*'T-Rev'!$S34</f>
        <v>283526</v>
      </c>
      <c r="F25" s="324">
        <f>'T-Rev'!F34*'T-Rev'!$S34</f>
        <v>285920.5</v>
      </c>
      <c r="G25" s="386">
        <f>'T-Rev'!G34*'T-Rev'!$S34</f>
        <v>275000</v>
      </c>
      <c r="H25" s="114">
        <f>'T-Rev'!H34*'T-Rev'!$S34</f>
        <v>281482.16666666669</v>
      </c>
      <c r="I25" s="114">
        <f>'T-Rev'!I34*'T-Rev'!$S34</f>
        <v>281482.16666666669</v>
      </c>
      <c r="J25" s="114">
        <f>'T-Rev'!J34*'T-Rev'!$S34</f>
        <v>281482.16666666669</v>
      </c>
      <c r="K25" s="114">
        <f>'T-Rev'!K34*'T-Rev'!$S34</f>
        <v>281482.16666666669</v>
      </c>
      <c r="L25" s="114">
        <f>'T-Rev'!L34*'T-Rev'!$S34</f>
        <v>281482.16666666669</v>
      </c>
      <c r="M25" s="114">
        <f>'T-Rev'!M34*'T-Rev'!$S34</f>
        <v>281482.16666666669</v>
      </c>
      <c r="N25" s="114">
        <f>'T-Rev'!N34*'T-Rev'!$S34</f>
        <v>281482.16666666669</v>
      </c>
      <c r="O25" s="114">
        <f>'T-Rev'!O34*'T-Rev'!$S34</f>
        <v>281482.16666666669</v>
      </c>
      <c r="P25" s="114">
        <f>'T-Rev'!P34*'T-Rev'!$S34</f>
        <v>281482.16666666669</v>
      </c>
    </row>
    <row r="26" spans="1:16" ht="12.75" customHeight="1" x14ac:dyDescent="0.25">
      <c r="A26" s="139"/>
      <c r="B26" s="432" t="s">
        <v>376</v>
      </c>
      <c r="C26" s="108"/>
      <c r="D26" s="108"/>
      <c r="E26" s="324">
        <f>'T-Rev'!E35*'T-Rev'!$S35</f>
        <v>0</v>
      </c>
      <c r="F26" s="324">
        <f>'T-Rev'!F35*'T-Rev'!$S35</f>
        <v>0</v>
      </c>
      <c r="G26" s="386">
        <f>'T-Rev'!G35*'T-Rev'!$S35</f>
        <v>0</v>
      </c>
      <c r="H26" s="114">
        <f>'T-Rev'!H35*'T-Rev'!$S35</f>
        <v>0</v>
      </c>
      <c r="I26" s="114">
        <f>'T-Rev'!I35*'T-Rev'!$S35</f>
        <v>0</v>
      </c>
      <c r="J26" s="114">
        <f>'T-Rev'!J35*'T-Rev'!$S35</f>
        <v>0</v>
      </c>
      <c r="K26" s="114">
        <f>'T-Rev'!K35*'T-Rev'!$S35</f>
        <v>0</v>
      </c>
      <c r="L26" s="114">
        <f>'T-Rev'!L35*'T-Rev'!$S35</f>
        <v>0</v>
      </c>
      <c r="M26" s="114">
        <f>'T-Rev'!M35*'T-Rev'!$S35</f>
        <v>0</v>
      </c>
      <c r="N26" s="114">
        <f>'T-Rev'!N35*'T-Rev'!$S35</f>
        <v>0</v>
      </c>
      <c r="O26" s="114">
        <f>'T-Rev'!O35*'T-Rev'!$S35</f>
        <v>0</v>
      </c>
      <c r="P26" s="114">
        <f>'T-Rev'!P35*'T-Rev'!$S35</f>
        <v>0</v>
      </c>
    </row>
    <row r="27" spans="1:16" ht="12.75" customHeight="1" x14ac:dyDescent="0.25">
      <c r="A27" s="432"/>
      <c r="B27" s="432" t="s">
        <v>377</v>
      </c>
      <c r="C27" s="108"/>
      <c r="D27" s="108"/>
      <c r="E27" s="324">
        <f>'T-Rev'!E36*'T-Rev'!$S36</f>
        <v>3762.5</v>
      </c>
      <c r="F27" s="324">
        <f>'T-Rev'!F36*'T-Rev'!$S36</f>
        <v>2350</v>
      </c>
      <c r="G27" s="386">
        <f>'T-Rev'!G36*'T-Rev'!$S36</f>
        <v>6000</v>
      </c>
      <c r="H27" s="114">
        <f>'T-Rev'!H36*'T-Rev'!$S36</f>
        <v>4037.5</v>
      </c>
      <c r="I27" s="114">
        <f>'T-Rev'!I36*'T-Rev'!$S36</f>
        <v>4037.5</v>
      </c>
      <c r="J27" s="114">
        <f>'T-Rev'!J36*'T-Rev'!$S36</f>
        <v>4037.5</v>
      </c>
      <c r="K27" s="114">
        <f>'T-Rev'!K36*'T-Rev'!$S36</f>
        <v>4037.5</v>
      </c>
      <c r="L27" s="114">
        <f>'T-Rev'!L36*'T-Rev'!$S36</f>
        <v>4037.5</v>
      </c>
      <c r="M27" s="114">
        <f>'T-Rev'!M36*'T-Rev'!$S36</f>
        <v>4037.5</v>
      </c>
      <c r="N27" s="114">
        <f>'T-Rev'!N36*'T-Rev'!$S36</f>
        <v>4037.5</v>
      </c>
      <c r="O27" s="114">
        <f>'T-Rev'!O36*'T-Rev'!$S36</f>
        <v>4037.5</v>
      </c>
      <c r="P27" s="114">
        <f>'T-Rev'!P36*'T-Rev'!$S36</f>
        <v>4037.5</v>
      </c>
    </row>
    <row r="28" spans="1:16" ht="12.75" customHeight="1" x14ac:dyDescent="0.25">
      <c r="A28" s="432"/>
      <c r="B28" s="432" t="s">
        <v>378</v>
      </c>
      <c r="C28" s="108"/>
      <c r="D28" s="108"/>
      <c r="E28" s="324">
        <f>'T-Rev'!E37*'T-Rev'!$S37</f>
        <v>0</v>
      </c>
      <c r="F28" s="324">
        <f>'T-Rev'!F37*'T-Rev'!$S37</f>
        <v>0</v>
      </c>
      <c r="G28" s="386">
        <f>'T-Rev'!G37*'T-Rev'!$S37</f>
        <v>0</v>
      </c>
      <c r="H28" s="114">
        <f>'T-Rev'!H37*'T-Rev'!$S37</f>
        <v>0</v>
      </c>
      <c r="I28" s="114">
        <f>'T-Rev'!I37*'T-Rev'!$S37</f>
        <v>0</v>
      </c>
      <c r="J28" s="114">
        <f>'T-Rev'!J37*'T-Rev'!$S37</f>
        <v>0</v>
      </c>
      <c r="K28" s="114">
        <f>'T-Rev'!K37*'T-Rev'!$S37</f>
        <v>0</v>
      </c>
      <c r="L28" s="114">
        <f>'T-Rev'!L37*'T-Rev'!$S37</f>
        <v>0</v>
      </c>
      <c r="M28" s="114">
        <f>'T-Rev'!M37*'T-Rev'!$S37</f>
        <v>0</v>
      </c>
      <c r="N28" s="114">
        <f>'T-Rev'!N37*'T-Rev'!$S37</f>
        <v>0</v>
      </c>
      <c r="O28" s="114">
        <f>'T-Rev'!O37*'T-Rev'!$S37</f>
        <v>0</v>
      </c>
      <c r="P28" s="114">
        <f>'T-Rev'!P37*'T-Rev'!$S37</f>
        <v>0</v>
      </c>
    </row>
    <row r="29" spans="1:16" ht="12.75" customHeight="1" x14ac:dyDescent="0.25">
      <c r="A29" s="432"/>
      <c r="B29" s="432" t="s">
        <v>264</v>
      </c>
      <c r="C29" s="108"/>
      <c r="D29" s="108"/>
      <c r="E29" s="324">
        <f>'T-Rev'!E38*'T-Rev'!$S38</f>
        <v>10</v>
      </c>
      <c r="F29" s="324">
        <f>'T-Rev'!F38*'T-Rev'!$S38</f>
        <v>71.5</v>
      </c>
      <c r="G29" s="386">
        <f>'T-Rev'!G38*'T-Rev'!$S38</f>
        <v>50</v>
      </c>
      <c r="H29" s="114">
        <f>'T-Rev'!H38*'T-Rev'!$S38</f>
        <v>43.833333333333336</v>
      </c>
      <c r="I29" s="114">
        <f>'T-Rev'!I38*'T-Rev'!$S38</f>
        <v>43.833333333333336</v>
      </c>
      <c r="J29" s="114">
        <f>'T-Rev'!J38*'T-Rev'!$S38</f>
        <v>43.833333333333336</v>
      </c>
      <c r="K29" s="114">
        <f>'T-Rev'!K38*'T-Rev'!$S38</f>
        <v>43.833333333333336</v>
      </c>
      <c r="L29" s="114">
        <f>'T-Rev'!L38*'T-Rev'!$S38</f>
        <v>43.833333333333336</v>
      </c>
      <c r="M29" s="114">
        <f>'T-Rev'!M38*'T-Rev'!$S38</f>
        <v>43.833333333333336</v>
      </c>
      <c r="N29" s="114">
        <f>'T-Rev'!N38*'T-Rev'!$S38</f>
        <v>43.833333333333336</v>
      </c>
      <c r="O29" s="114">
        <f>'T-Rev'!O38*'T-Rev'!$S38</f>
        <v>43.833333333333336</v>
      </c>
      <c r="P29" s="114">
        <f>'T-Rev'!P38*'T-Rev'!$S38</f>
        <v>43.833333333333336</v>
      </c>
    </row>
    <row r="30" spans="1:16" ht="12.75" customHeight="1" x14ac:dyDescent="0.25">
      <c r="A30" s="432"/>
      <c r="B30" s="432" t="s">
        <v>379</v>
      </c>
      <c r="C30" s="108"/>
      <c r="D30" s="108"/>
      <c r="E30" s="324">
        <f>'T-Rev'!E39*'T-Rev'!$S39</f>
        <v>0</v>
      </c>
      <c r="F30" s="324">
        <f>'T-Rev'!F39*'T-Rev'!$S39</f>
        <v>0</v>
      </c>
      <c r="G30" s="386">
        <f>'T-Rev'!G39*'T-Rev'!$S39</f>
        <v>0</v>
      </c>
      <c r="H30" s="114">
        <f>'T-Rev'!H39*'T-Rev'!$S39</f>
        <v>0</v>
      </c>
      <c r="I30" s="114">
        <f>'T-Rev'!I39*'T-Rev'!$S39</f>
        <v>0</v>
      </c>
      <c r="J30" s="114">
        <f>'T-Rev'!J39*'T-Rev'!$S39</f>
        <v>0</v>
      </c>
      <c r="K30" s="114">
        <f>'T-Rev'!K39*'T-Rev'!$S39</f>
        <v>0</v>
      </c>
      <c r="L30" s="114">
        <f>'T-Rev'!L39*'T-Rev'!$S39</f>
        <v>0</v>
      </c>
      <c r="M30" s="114">
        <f>'T-Rev'!M39*'T-Rev'!$S39</f>
        <v>0</v>
      </c>
      <c r="N30" s="114">
        <f>'T-Rev'!N39*'T-Rev'!$S39</f>
        <v>0</v>
      </c>
      <c r="O30" s="114">
        <f>'T-Rev'!O39*'T-Rev'!$S39</f>
        <v>0</v>
      </c>
      <c r="P30" s="114">
        <f>'T-Rev'!P39*'T-Rev'!$S39</f>
        <v>0</v>
      </c>
    </row>
    <row r="31" spans="1:16" ht="12.75" customHeight="1" x14ac:dyDescent="0.25">
      <c r="A31" s="432"/>
      <c r="B31" s="432" t="s">
        <v>380</v>
      </c>
      <c r="C31" s="108"/>
      <c r="D31" s="108"/>
      <c r="E31" s="324">
        <f>'T-Rev'!E40*'T-Rev'!$S40</f>
        <v>66131</v>
      </c>
      <c r="F31" s="324">
        <f>'T-Rev'!F40*'T-Rev'!$S40</f>
        <v>46353</v>
      </c>
      <c r="G31" s="386">
        <f>'T-Rev'!G40*'T-Rev'!$S40</f>
        <v>46353</v>
      </c>
      <c r="H31" s="114">
        <f>'T-Rev'!H40*'T-Rev'!$S40</f>
        <v>52945.666666666664</v>
      </c>
      <c r="I31" s="114">
        <f>'T-Rev'!I40*'T-Rev'!$S40</f>
        <v>52945.666666666664</v>
      </c>
      <c r="J31" s="114">
        <f>'T-Rev'!J40*'T-Rev'!$S40</f>
        <v>52945.666666666664</v>
      </c>
      <c r="K31" s="114">
        <f>'T-Rev'!K40*'T-Rev'!$S40</f>
        <v>52945.666666666664</v>
      </c>
      <c r="L31" s="114">
        <f>'T-Rev'!L40*'T-Rev'!$S40</f>
        <v>52945.666666666664</v>
      </c>
      <c r="M31" s="114">
        <f>'T-Rev'!M40*'T-Rev'!$S40</f>
        <v>52945.666666666664</v>
      </c>
      <c r="N31" s="114">
        <f>'T-Rev'!N40*'T-Rev'!$S40</f>
        <v>52945.666666666664</v>
      </c>
      <c r="O31" s="114">
        <f>'T-Rev'!O40*'T-Rev'!$S40</f>
        <v>52945.666666666664</v>
      </c>
      <c r="P31" s="114">
        <f>'T-Rev'!P40*'T-Rev'!$S40</f>
        <v>52945.666666666664</v>
      </c>
    </row>
    <row r="32" spans="1:16" ht="12.75" customHeight="1" x14ac:dyDescent="0.25">
      <c r="A32" s="139"/>
      <c r="B32" s="432" t="s">
        <v>381</v>
      </c>
      <c r="C32" s="108"/>
      <c r="D32" s="108"/>
      <c r="E32" s="324">
        <f>'T-Rev'!E41*'T-Rev'!$S41</f>
        <v>400</v>
      </c>
      <c r="F32" s="324">
        <f>'T-Rev'!F41*'T-Rev'!$S41</f>
        <v>0</v>
      </c>
      <c r="G32" s="386">
        <f>'T-Rev'!G41*'T-Rev'!$S41</f>
        <v>400</v>
      </c>
      <c r="H32" s="114">
        <f>'T-Rev'!H41*'T-Rev'!$S41</f>
        <v>266.66666666666669</v>
      </c>
      <c r="I32" s="114">
        <f>'T-Rev'!I41*'T-Rev'!$S41</f>
        <v>266.66666666666669</v>
      </c>
      <c r="J32" s="114">
        <f>'T-Rev'!J41*'T-Rev'!$S41</f>
        <v>266.66666666666669</v>
      </c>
      <c r="K32" s="114">
        <f>'T-Rev'!K41*'T-Rev'!$S41</f>
        <v>266.66666666666669</v>
      </c>
      <c r="L32" s="114">
        <f>'T-Rev'!L41*'T-Rev'!$S41</f>
        <v>266.66666666666669</v>
      </c>
      <c r="M32" s="114">
        <f>'T-Rev'!M41*'T-Rev'!$S41</f>
        <v>266.66666666666669</v>
      </c>
      <c r="N32" s="114">
        <f>'T-Rev'!N41*'T-Rev'!$S41</f>
        <v>266.66666666666669</v>
      </c>
      <c r="O32" s="114">
        <f>'T-Rev'!O41*'T-Rev'!$S41</f>
        <v>266.66666666666669</v>
      </c>
      <c r="P32" s="114">
        <f>'T-Rev'!P41*'T-Rev'!$S41</f>
        <v>266.66666666666669</v>
      </c>
    </row>
    <row r="33" spans="1:16" ht="12.75" customHeight="1" x14ac:dyDescent="0.25">
      <c r="A33" s="432"/>
      <c r="B33" s="432" t="s">
        <v>299</v>
      </c>
      <c r="C33" s="108"/>
      <c r="D33" s="108"/>
      <c r="E33" s="324">
        <f>'T-Rev'!E42*'T-Rev'!$S42</f>
        <v>0</v>
      </c>
      <c r="F33" s="324">
        <f>'T-Rev'!F42*'T-Rev'!$S42</f>
        <v>0</v>
      </c>
      <c r="G33" s="386">
        <f>'T-Rev'!G42*'T-Rev'!$S42</f>
        <v>0</v>
      </c>
      <c r="H33" s="114">
        <f>'T-Rev'!H42*'T-Rev'!$S42</f>
        <v>0</v>
      </c>
      <c r="I33" s="114">
        <f>'T-Rev'!I42*'T-Rev'!$S42</f>
        <v>0</v>
      </c>
      <c r="J33" s="114">
        <f>'T-Rev'!J42*'T-Rev'!$S42</f>
        <v>0</v>
      </c>
      <c r="K33" s="114">
        <f>'T-Rev'!K42*'T-Rev'!$S42</f>
        <v>0</v>
      </c>
      <c r="L33" s="114">
        <f>'T-Rev'!L42*'T-Rev'!$S42</f>
        <v>0</v>
      </c>
      <c r="M33" s="114">
        <f>'T-Rev'!M42*'T-Rev'!$S42</f>
        <v>0</v>
      </c>
      <c r="N33" s="114">
        <f>'T-Rev'!N42*'T-Rev'!$S42</f>
        <v>0</v>
      </c>
      <c r="O33" s="114">
        <f>'T-Rev'!O42*'T-Rev'!$S42</f>
        <v>0</v>
      </c>
      <c r="P33" s="114">
        <f>'T-Rev'!P42*'T-Rev'!$S42</f>
        <v>0</v>
      </c>
    </row>
    <row r="34" spans="1:16" ht="12.75" customHeight="1" x14ac:dyDescent="0.25">
      <c r="A34" s="432"/>
      <c r="B34" s="432" t="s">
        <v>299</v>
      </c>
      <c r="C34" s="108"/>
      <c r="D34" s="108"/>
      <c r="E34" s="324">
        <f>'T-Rev'!E43*'T-Rev'!$S43</f>
        <v>0</v>
      </c>
      <c r="F34" s="324">
        <f>'T-Rev'!F43*'T-Rev'!$S43</f>
        <v>0</v>
      </c>
      <c r="G34" s="386">
        <f>'T-Rev'!G43*'T-Rev'!$S43</f>
        <v>0</v>
      </c>
      <c r="H34" s="114">
        <f>'T-Rev'!H43*'T-Rev'!$S43</f>
        <v>0</v>
      </c>
      <c r="I34" s="114">
        <f>'T-Rev'!I43*'T-Rev'!$S43</f>
        <v>0</v>
      </c>
      <c r="J34" s="114">
        <f>'T-Rev'!J43*'T-Rev'!$S43</f>
        <v>0</v>
      </c>
      <c r="K34" s="114">
        <f>'T-Rev'!K43*'T-Rev'!$S43</f>
        <v>0</v>
      </c>
      <c r="L34" s="114">
        <f>'T-Rev'!L43*'T-Rev'!$S43</f>
        <v>0</v>
      </c>
      <c r="M34" s="114">
        <f>'T-Rev'!M43*'T-Rev'!$S43</f>
        <v>0</v>
      </c>
      <c r="N34" s="114">
        <f>'T-Rev'!N43*'T-Rev'!$S43</f>
        <v>0</v>
      </c>
      <c r="O34" s="114">
        <f>'T-Rev'!O43*'T-Rev'!$S43</f>
        <v>0</v>
      </c>
      <c r="P34" s="114">
        <f>'T-Rev'!P43*'T-Rev'!$S43</f>
        <v>0</v>
      </c>
    </row>
    <row r="35" spans="1:16" ht="12.75" customHeight="1" x14ac:dyDescent="0.25">
      <c r="A35" s="432"/>
      <c r="B35" s="432" t="s">
        <v>299</v>
      </c>
      <c r="C35" s="108"/>
      <c r="D35" s="108"/>
      <c r="E35" s="324">
        <f>'T-Rev'!E44*'T-Rev'!$S44</f>
        <v>0</v>
      </c>
      <c r="F35" s="324">
        <f>'T-Rev'!F44*'T-Rev'!$S44</f>
        <v>0</v>
      </c>
      <c r="G35" s="386">
        <f>'T-Rev'!G44*'T-Rev'!$S44</f>
        <v>0</v>
      </c>
      <c r="H35" s="114">
        <f>'T-Rev'!H44*'T-Rev'!$S44</f>
        <v>0</v>
      </c>
      <c r="I35" s="114">
        <f>'T-Rev'!I44*'T-Rev'!$S44</f>
        <v>0</v>
      </c>
      <c r="J35" s="114">
        <f>'T-Rev'!J44*'T-Rev'!$S44</f>
        <v>0</v>
      </c>
      <c r="K35" s="114">
        <f>'T-Rev'!K44*'T-Rev'!$S44</f>
        <v>0</v>
      </c>
      <c r="L35" s="114">
        <f>'T-Rev'!L44*'T-Rev'!$S44</f>
        <v>0</v>
      </c>
      <c r="M35" s="114">
        <f>'T-Rev'!M44*'T-Rev'!$S44</f>
        <v>0</v>
      </c>
      <c r="N35" s="114">
        <f>'T-Rev'!N44*'T-Rev'!$S44</f>
        <v>0</v>
      </c>
      <c r="O35" s="114">
        <f>'T-Rev'!O44*'T-Rev'!$S44</f>
        <v>0</v>
      </c>
      <c r="P35" s="114">
        <f>'T-Rev'!P44*'T-Rev'!$S44</f>
        <v>0</v>
      </c>
    </row>
    <row r="36" spans="1:16" ht="12.75" customHeight="1" x14ac:dyDescent="0.25">
      <c r="A36" s="432"/>
      <c r="B36" s="432" t="s">
        <v>299</v>
      </c>
      <c r="C36" s="108"/>
      <c r="D36" s="108"/>
      <c r="E36" s="324">
        <f>'T-Rev'!E45*'T-Rev'!$S45</f>
        <v>0</v>
      </c>
      <c r="F36" s="324">
        <f>'T-Rev'!F45*'T-Rev'!$S45</f>
        <v>0</v>
      </c>
      <c r="G36" s="386">
        <f>'T-Rev'!G45*'T-Rev'!$S45</f>
        <v>0</v>
      </c>
      <c r="H36" s="114">
        <f>'T-Rev'!H45*'T-Rev'!$S45</f>
        <v>0</v>
      </c>
      <c r="I36" s="114">
        <f>'T-Rev'!I45*'T-Rev'!$S45</f>
        <v>0</v>
      </c>
      <c r="J36" s="114">
        <f>'T-Rev'!J45*'T-Rev'!$S45</f>
        <v>0</v>
      </c>
      <c r="K36" s="114">
        <f>'T-Rev'!K45*'T-Rev'!$S45</f>
        <v>0</v>
      </c>
      <c r="L36" s="114">
        <f>'T-Rev'!L45*'T-Rev'!$S45</f>
        <v>0</v>
      </c>
      <c r="M36" s="114">
        <f>'T-Rev'!M45*'T-Rev'!$S45</f>
        <v>0</v>
      </c>
      <c r="N36" s="114">
        <f>'T-Rev'!N45*'T-Rev'!$S45</f>
        <v>0</v>
      </c>
      <c r="O36" s="114">
        <f>'T-Rev'!O45*'T-Rev'!$S45</f>
        <v>0</v>
      </c>
      <c r="P36" s="114">
        <f>'T-Rev'!P45*'T-Rev'!$S45</f>
        <v>0</v>
      </c>
    </row>
    <row r="37" spans="1:16" ht="12.75" customHeight="1" x14ac:dyDescent="0.25">
      <c r="A37" s="432"/>
      <c r="B37" s="432" t="s">
        <v>299</v>
      </c>
      <c r="C37" s="108"/>
      <c r="D37" s="108"/>
      <c r="E37" s="324">
        <f>'T-Rev'!E46*'T-Rev'!$S46</f>
        <v>0</v>
      </c>
      <c r="F37" s="324">
        <f>'T-Rev'!F46*'T-Rev'!$S46</f>
        <v>0</v>
      </c>
      <c r="G37" s="386">
        <f>'T-Rev'!G46*'T-Rev'!$S46</f>
        <v>0</v>
      </c>
      <c r="H37" s="114">
        <f>'T-Rev'!H46*'T-Rev'!$S46</f>
        <v>0</v>
      </c>
      <c r="I37" s="114">
        <f>'T-Rev'!I46*'T-Rev'!$S46</f>
        <v>0</v>
      </c>
      <c r="J37" s="114">
        <f>'T-Rev'!J46*'T-Rev'!$S46</f>
        <v>0</v>
      </c>
      <c r="K37" s="114">
        <f>'T-Rev'!K46*'T-Rev'!$S46</f>
        <v>0</v>
      </c>
      <c r="L37" s="114">
        <f>'T-Rev'!L46*'T-Rev'!$S46</f>
        <v>0</v>
      </c>
      <c r="M37" s="114">
        <f>'T-Rev'!M46*'T-Rev'!$S46</f>
        <v>0</v>
      </c>
      <c r="N37" s="114">
        <f>'T-Rev'!N46*'T-Rev'!$S46</f>
        <v>0</v>
      </c>
      <c r="O37" s="114">
        <f>'T-Rev'!O46*'T-Rev'!$S46</f>
        <v>0</v>
      </c>
      <c r="P37" s="114">
        <f>'T-Rev'!P46*'T-Rev'!$S46</f>
        <v>0</v>
      </c>
    </row>
    <row r="38" spans="1:16" ht="12.75" customHeight="1" x14ac:dyDescent="0.25">
      <c r="A38" s="432"/>
      <c r="B38" s="432" t="s">
        <v>299</v>
      </c>
      <c r="C38" s="108"/>
      <c r="D38" s="108"/>
      <c r="E38" s="324">
        <f>'T-Rev'!E47*'T-Rev'!$S47</f>
        <v>0</v>
      </c>
      <c r="F38" s="324">
        <f>'T-Rev'!F47*'T-Rev'!$S47</f>
        <v>0</v>
      </c>
      <c r="G38" s="386">
        <f>'T-Rev'!G47*'T-Rev'!$S47</f>
        <v>0</v>
      </c>
      <c r="H38" s="114">
        <f>'T-Rev'!H47*'T-Rev'!$S47</f>
        <v>0</v>
      </c>
      <c r="I38" s="114">
        <f>'T-Rev'!I47*'T-Rev'!$S47</f>
        <v>0</v>
      </c>
      <c r="J38" s="114">
        <f>'T-Rev'!J47*'T-Rev'!$S47</f>
        <v>0</v>
      </c>
      <c r="K38" s="114">
        <f>'T-Rev'!K47*'T-Rev'!$S47</f>
        <v>0</v>
      </c>
      <c r="L38" s="114">
        <f>'T-Rev'!L47*'T-Rev'!$S47</f>
        <v>0</v>
      </c>
      <c r="M38" s="114">
        <f>'T-Rev'!M47*'T-Rev'!$S47</f>
        <v>0</v>
      </c>
      <c r="N38" s="114">
        <f>'T-Rev'!N47*'T-Rev'!$S47</f>
        <v>0</v>
      </c>
      <c r="O38" s="114">
        <f>'T-Rev'!O47*'T-Rev'!$S47</f>
        <v>0</v>
      </c>
      <c r="P38" s="114">
        <f>'T-Rev'!P47*'T-Rev'!$S47</f>
        <v>0</v>
      </c>
    </row>
    <row r="39" spans="1:16" ht="12.75" customHeight="1" x14ac:dyDescent="0.25">
      <c r="A39" s="432"/>
      <c r="B39" s="432" t="s">
        <v>335</v>
      </c>
      <c r="C39" s="108"/>
      <c r="D39" s="108"/>
      <c r="E39" s="324">
        <f>'T-Rev'!E18</f>
        <v>57679.98</v>
      </c>
      <c r="F39" s="324">
        <f>'T-Rev'!F18</f>
        <v>61620</v>
      </c>
      <c r="G39" s="386">
        <f>'T-Rev'!G18</f>
        <v>61621.25</v>
      </c>
      <c r="H39" s="114">
        <f>'T-Rev'!H18</f>
        <v>61617.75</v>
      </c>
      <c r="I39" s="114">
        <f>'T-Rev'!I18</f>
        <v>61609.5</v>
      </c>
      <c r="J39" s="114">
        <f>'T-Rev'!J18</f>
        <v>61596.5</v>
      </c>
      <c r="K39" s="114">
        <f>'T-Rev'!K18</f>
        <v>61578.75</v>
      </c>
      <c r="L39" s="114">
        <f>'T-Rev'!L18</f>
        <v>61556.25</v>
      </c>
      <c r="M39" s="114">
        <f>'T-Rev'!M18</f>
        <v>61529</v>
      </c>
      <c r="N39" s="114">
        <f>'T-Rev'!N18</f>
        <v>61497</v>
      </c>
      <c r="O39" s="114">
        <f>'T-Rev'!O18</f>
        <v>61460.25</v>
      </c>
      <c r="P39" s="114">
        <f>'T-Rev'!P18</f>
        <v>61418.75</v>
      </c>
    </row>
    <row r="40" spans="1:16" ht="12.75" customHeight="1" thickBot="1" x14ac:dyDescent="0.3">
      <c r="A40" s="226"/>
      <c r="B40" s="226"/>
      <c r="C40" s="226"/>
      <c r="D40" s="226"/>
      <c r="E40" s="113"/>
      <c r="F40" s="113"/>
      <c r="G40" s="261"/>
      <c r="H40" s="113"/>
      <c r="I40" s="113"/>
      <c r="J40" s="113"/>
      <c r="K40" s="113"/>
      <c r="L40" s="113"/>
      <c r="M40" s="113"/>
      <c r="N40" s="113"/>
      <c r="O40" s="113"/>
      <c r="P40" s="113"/>
    </row>
    <row r="41" spans="1:16" ht="12.75" customHeight="1" thickTop="1" x14ac:dyDescent="0.25">
      <c r="A41" s="139" t="s">
        <v>82</v>
      </c>
      <c r="B41" s="139"/>
      <c r="C41" s="139"/>
      <c r="D41" s="139"/>
      <c r="E41" s="145">
        <f t="shared" ref="E41:I41" si="14">E21+SUM(E24:E39)</f>
        <v>2976850.1858000001</v>
      </c>
      <c r="F41" s="145">
        <f t="shared" si="14"/>
        <v>2973490.4429999995</v>
      </c>
      <c r="G41" s="175">
        <f t="shared" si="14"/>
        <v>3739752.3259000001</v>
      </c>
      <c r="H41" s="145">
        <f t="shared" si="14"/>
        <v>4755820.0820033327</v>
      </c>
      <c r="I41" s="145">
        <f t="shared" si="14"/>
        <v>4755811.8320033327</v>
      </c>
      <c r="J41" s="145">
        <f t="shared" ref="J41:P41" si="15">J21+SUM(J24:J39)</f>
        <v>4755798.8320033327</v>
      </c>
      <c r="K41" s="145">
        <f t="shared" si="15"/>
        <v>4755781.0820033327</v>
      </c>
      <c r="L41" s="145">
        <f t="shared" si="15"/>
        <v>4755758.5820033327</v>
      </c>
      <c r="M41" s="145">
        <f t="shared" si="15"/>
        <v>4755731.3320033327</v>
      </c>
      <c r="N41" s="145">
        <f t="shared" si="15"/>
        <v>4755699.3320033327</v>
      </c>
      <c r="O41" s="145">
        <f t="shared" si="15"/>
        <v>4755662.5820033327</v>
      </c>
      <c r="P41" s="145">
        <f t="shared" si="15"/>
        <v>4755621.0820033327</v>
      </c>
    </row>
    <row r="42" spans="1:16" ht="12.75" customHeight="1" thickBot="1" x14ac:dyDescent="0.3">
      <c r="A42" s="115"/>
      <c r="B42" s="115"/>
      <c r="C42" s="115"/>
      <c r="D42" s="115"/>
      <c r="E42" s="115"/>
      <c r="F42" s="115"/>
      <c r="G42" s="262"/>
      <c r="H42" s="115"/>
      <c r="I42" s="115"/>
      <c r="J42" s="115"/>
      <c r="K42" s="115"/>
      <c r="L42" s="115"/>
      <c r="M42" s="115"/>
      <c r="N42" s="115"/>
      <c r="O42" s="115"/>
      <c r="P42" s="115"/>
    </row>
    <row r="43" spans="1:16" ht="12.75" customHeight="1" x14ac:dyDescent="0.25">
      <c r="A43" s="108"/>
      <c r="B43" s="108"/>
      <c r="C43" s="108"/>
      <c r="D43" s="574"/>
      <c r="E43" s="108"/>
      <c r="F43" s="574"/>
      <c r="G43" s="429"/>
      <c r="H43" s="108"/>
      <c r="I43" s="108"/>
      <c r="J43" s="108"/>
      <c r="K43" s="108"/>
      <c r="L43" s="108"/>
      <c r="M43" s="108"/>
      <c r="N43" s="108"/>
      <c r="O43" s="108"/>
      <c r="P43" s="108"/>
    </row>
    <row r="44" spans="1:16" ht="12.75" customHeight="1" x14ac:dyDescent="0.25">
      <c r="A44" s="108"/>
      <c r="B44" s="108"/>
      <c r="C44" s="108"/>
      <c r="D44" s="108"/>
      <c r="E44" s="108"/>
      <c r="F44" s="108"/>
      <c r="G44" s="108"/>
      <c r="H44" s="108"/>
      <c r="I44" s="108"/>
      <c r="J44" s="108"/>
      <c r="K44" s="108"/>
      <c r="L44" s="108"/>
      <c r="M44" s="108"/>
      <c r="N44" s="108"/>
      <c r="O44" s="108"/>
      <c r="P44" s="108"/>
    </row>
    <row r="45" spans="1:16" ht="12.75" customHeight="1" x14ac:dyDescent="0.25">
      <c r="A45" s="108"/>
      <c r="B45" s="108"/>
      <c r="C45" s="108"/>
      <c r="D45" s="108"/>
      <c r="E45" s="108"/>
      <c r="F45" s="108"/>
      <c r="G45" s="108"/>
      <c r="H45" s="108"/>
      <c r="I45" s="108"/>
      <c r="J45" s="108"/>
      <c r="K45" s="108"/>
      <c r="L45" s="108"/>
      <c r="M45" s="108"/>
      <c r="N45" s="108"/>
      <c r="O45" s="108"/>
      <c r="P45" s="108"/>
    </row>
    <row r="46" spans="1:16" ht="12.75" customHeight="1" x14ac:dyDescent="0.25">
      <c r="A46" s="77" t="s">
        <v>244</v>
      </c>
      <c r="B46" s="37"/>
      <c r="C46" s="90"/>
      <c r="D46" s="90"/>
      <c r="E46" s="63"/>
      <c r="F46" s="63"/>
      <c r="G46" s="63"/>
      <c r="H46" s="63"/>
      <c r="I46" s="63"/>
      <c r="J46" s="63"/>
      <c r="K46" s="63"/>
      <c r="L46" s="63"/>
      <c r="M46" s="63"/>
      <c r="N46" s="63"/>
      <c r="O46" s="63"/>
      <c r="P46" s="63"/>
    </row>
    <row r="47" spans="1:16" ht="12.75" customHeight="1" x14ac:dyDescent="0.25">
      <c r="A47" s="77" t="s">
        <v>83</v>
      </c>
      <c r="B47" s="37"/>
      <c r="C47" s="90"/>
      <c r="D47" s="90"/>
      <c r="E47" s="4"/>
      <c r="F47" s="4"/>
      <c r="G47" s="4"/>
      <c r="H47" s="4"/>
      <c r="I47" s="4"/>
      <c r="J47" s="4"/>
      <c r="K47" s="4"/>
      <c r="L47" s="4"/>
      <c r="M47" s="4"/>
      <c r="N47" s="4"/>
      <c r="O47" s="4"/>
      <c r="P47" s="4"/>
    </row>
    <row r="48" spans="1:16" ht="12.75" customHeight="1" thickBot="1" x14ac:dyDescent="0.3">
      <c r="A48" s="78" t="s">
        <v>428</v>
      </c>
      <c r="B48" s="91"/>
      <c r="C48" s="92"/>
      <c r="D48" s="92"/>
      <c r="E48" s="7"/>
      <c r="F48" s="7"/>
      <c r="G48" s="7"/>
      <c r="H48" s="7"/>
      <c r="I48" s="7"/>
      <c r="J48" s="7"/>
      <c r="K48" s="7"/>
      <c r="L48" s="7"/>
      <c r="M48" s="7"/>
      <c r="N48" s="7"/>
      <c r="O48" s="7"/>
      <c r="P48" s="7"/>
    </row>
    <row r="49" spans="1:16" ht="12.75" customHeight="1" x14ac:dyDescent="0.25">
      <c r="A49" s="645" t="s">
        <v>215</v>
      </c>
      <c r="B49" s="645"/>
      <c r="C49" s="645"/>
      <c r="D49" s="214"/>
      <c r="E49" s="215">
        <f>Sum!E$5</f>
        <v>2023</v>
      </c>
      <c r="F49" s="215">
        <f>Sum!F$5</f>
        <v>2024</v>
      </c>
      <c r="G49" s="216">
        <f>Sum!G$5</f>
        <v>2025</v>
      </c>
      <c r="H49" s="215">
        <f>Sum!H$5</f>
        <v>2026</v>
      </c>
      <c r="I49" s="215">
        <f>Sum!I$5</f>
        <v>2027</v>
      </c>
      <c r="J49" s="215">
        <f>Sum!J$5</f>
        <v>2028</v>
      </c>
      <c r="K49" s="215">
        <f>Sum!K$5</f>
        <v>2029</v>
      </c>
      <c r="L49" s="215">
        <f>Sum!L$5</f>
        <v>2030</v>
      </c>
      <c r="M49" s="215">
        <f>Sum!M$5</f>
        <v>2031</v>
      </c>
      <c r="N49" s="215">
        <f>Sum!N$5</f>
        <v>2032</v>
      </c>
      <c r="O49" s="215">
        <f>Sum!O$5</f>
        <v>2033</v>
      </c>
      <c r="P49" s="215">
        <f>Sum!P$5</f>
        <v>2034</v>
      </c>
    </row>
    <row r="50" spans="1:16" ht="12.75" customHeight="1" x14ac:dyDescent="0.25">
      <c r="A50" s="16"/>
      <c r="B50" s="37"/>
      <c r="C50" s="37"/>
      <c r="D50" s="37"/>
      <c r="E50" s="3"/>
      <c r="F50" s="3"/>
      <c r="G50" s="151"/>
      <c r="H50" s="3"/>
      <c r="I50" s="3"/>
      <c r="J50" s="3"/>
      <c r="K50" s="3"/>
      <c r="L50" s="3"/>
      <c r="M50" s="3"/>
      <c r="N50" s="3"/>
      <c r="O50" s="3"/>
      <c r="P50" s="3"/>
    </row>
    <row r="51" spans="1:16" ht="12.75" customHeight="1" x14ac:dyDescent="0.25">
      <c r="A51" s="77" t="s">
        <v>195</v>
      </c>
      <c r="B51" s="37"/>
      <c r="C51" s="37"/>
      <c r="D51" s="37"/>
      <c r="E51" s="3"/>
      <c r="F51" s="3"/>
      <c r="G51" s="151"/>
      <c r="H51" s="3"/>
      <c r="I51" s="3"/>
      <c r="J51" s="3"/>
      <c r="K51" s="3"/>
      <c r="L51" s="3"/>
      <c r="M51" s="3"/>
      <c r="N51" s="3"/>
      <c r="O51" s="3"/>
      <c r="P51" s="3"/>
    </row>
    <row r="52" spans="1:16" ht="12.75" customHeight="1" x14ac:dyDescent="0.25">
      <c r="A52" s="29" t="s">
        <v>191</v>
      </c>
      <c r="B52" s="25"/>
      <c r="C52" s="25"/>
      <c r="D52" s="25"/>
      <c r="E52" s="3"/>
      <c r="F52" s="3"/>
      <c r="G52" s="151"/>
      <c r="H52" s="3"/>
      <c r="I52" s="3"/>
      <c r="J52" s="3"/>
      <c r="K52" s="3"/>
      <c r="L52" s="3"/>
      <c r="M52" s="3"/>
      <c r="N52" s="3"/>
      <c r="O52" s="3"/>
      <c r="P52" s="3"/>
    </row>
    <row r="53" spans="1:16" ht="12.75" customHeight="1" x14ac:dyDescent="0.25">
      <c r="A53" s="3"/>
      <c r="B53" s="25" t="s">
        <v>223</v>
      </c>
      <c r="C53" s="25"/>
      <c r="D53" s="25"/>
      <c r="E53" s="20">
        <f>'WW-Dem'!E9*Sum!E370*D81*12</f>
        <v>736113.6</v>
      </c>
      <c r="F53" s="20">
        <f>'WW-Dem'!F9*Sum!F370*D81*12</f>
        <v>736113.6</v>
      </c>
      <c r="G53" s="160">
        <f>'WW-Dem'!G9*Sum!G370*D81*12</f>
        <v>956947.68000000017</v>
      </c>
      <c r="H53" s="20">
        <f>'WW-Dem'!H9*Sum!H370*D81*12</f>
        <v>1244031.9840000002</v>
      </c>
      <c r="I53" s="20">
        <f>'WW-Dem'!I9*Sum!I370*$D$81*12</f>
        <v>1244031.9840000002</v>
      </c>
      <c r="J53" s="20">
        <f>'WW-Dem'!J9*Sum!J370*$D$81*12</f>
        <v>1244031.9840000002</v>
      </c>
      <c r="K53" s="20">
        <f>'WW-Dem'!K9*Sum!K370*$D$81*12</f>
        <v>1244031.9840000002</v>
      </c>
      <c r="L53" s="20">
        <f>'WW-Dem'!L9*Sum!L370*$D$81*12</f>
        <v>1244031.9840000002</v>
      </c>
      <c r="M53" s="20">
        <f>'WW-Dem'!M9*Sum!M370*$D$81*12</f>
        <v>1244031.9840000002</v>
      </c>
      <c r="N53" s="20">
        <f>'WW-Dem'!N9*Sum!N370*$D$81*12</f>
        <v>1244031.9840000002</v>
      </c>
      <c r="O53" s="20">
        <f>'WW-Dem'!O9*Sum!O370*$D$81*12</f>
        <v>1244031.9840000002</v>
      </c>
      <c r="P53" s="20">
        <f>'WW-Dem'!P9*Sum!P370*$D$81*12</f>
        <v>1244031.9840000002</v>
      </c>
    </row>
    <row r="54" spans="1:16" ht="12.75" customHeight="1" x14ac:dyDescent="0.25">
      <c r="A54" s="3"/>
      <c r="B54" s="25" t="s">
        <v>320</v>
      </c>
      <c r="C54" s="25"/>
      <c r="D54" s="25"/>
      <c r="E54" s="20">
        <f>'WW-Dem'!E10*Sum!E371*D81*12</f>
        <v>170095.31999999998</v>
      </c>
      <c r="F54" s="20">
        <f>'WW-Dem'!F10*Sum!F371*D81*12</f>
        <v>170095.31999999998</v>
      </c>
      <c r="G54" s="160">
        <f>'WW-Dem'!G10*Sum!G371*D81*12</f>
        <v>221123.91600000003</v>
      </c>
      <c r="H54" s="20">
        <f>'WW-Dem'!H10*Sum!H371*D81*12</f>
        <v>287461.09080000001</v>
      </c>
      <c r="I54" s="20">
        <f>'WW-Dem'!I10*Sum!I371*$D$81*12</f>
        <v>287461.09080000001</v>
      </c>
      <c r="J54" s="20">
        <f>'WW-Dem'!J10*Sum!J371*$D$81*12</f>
        <v>287461.09080000001</v>
      </c>
      <c r="K54" s="20">
        <f>'WW-Dem'!K10*Sum!K371*$D$81*12</f>
        <v>287461.09080000001</v>
      </c>
      <c r="L54" s="20">
        <f>'WW-Dem'!L10*Sum!L371*$D$81*12</f>
        <v>287461.09080000001</v>
      </c>
      <c r="M54" s="20">
        <f>'WW-Dem'!M10*Sum!M371*$D$81*12</f>
        <v>287461.09080000001</v>
      </c>
      <c r="N54" s="20">
        <f>'WW-Dem'!N10*Sum!N371*$D$81*12</f>
        <v>287461.09080000001</v>
      </c>
      <c r="O54" s="20">
        <f>'WW-Dem'!O10*Sum!O371*$D$81*12</f>
        <v>287461.09080000001</v>
      </c>
      <c r="P54" s="20">
        <f>'WW-Dem'!P10*Sum!P371*$D$81*12</f>
        <v>287461.09080000001</v>
      </c>
    </row>
    <row r="55" spans="1:16" ht="12.75" customHeight="1" x14ac:dyDescent="0.25">
      <c r="A55" s="3"/>
      <c r="B55" s="47" t="s">
        <v>346</v>
      </c>
      <c r="C55" s="47"/>
      <c r="D55" s="47"/>
      <c r="E55" s="76">
        <f>'WW-Dem'!E11*Sum!E372*D81*12</f>
        <v>0</v>
      </c>
      <c r="F55" s="76">
        <f>'WW-Dem'!F11*Sum!F372*D81*12</f>
        <v>0</v>
      </c>
      <c r="G55" s="177">
        <f>'WW-Dem'!G11*Sum!G372*D81*12</f>
        <v>0</v>
      </c>
      <c r="H55" s="76">
        <f>'WW-Dem'!H11*Sum!H372*D81*12</f>
        <v>0</v>
      </c>
      <c r="I55" s="76">
        <f>'WW-Dem'!I11*Sum!I372*$D$81*12</f>
        <v>0</v>
      </c>
      <c r="J55" s="76">
        <f>'WW-Dem'!J11*Sum!J372*$D$81*12</f>
        <v>0</v>
      </c>
      <c r="K55" s="76">
        <f>'WW-Dem'!K11*Sum!K372*$D$81*12</f>
        <v>0</v>
      </c>
      <c r="L55" s="76">
        <f>'WW-Dem'!L11*Sum!L372*$D$81*12</f>
        <v>0</v>
      </c>
      <c r="M55" s="76">
        <f>'WW-Dem'!M11*Sum!M372*$D$81*12</f>
        <v>0</v>
      </c>
      <c r="N55" s="76">
        <f>'WW-Dem'!N11*Sum!N372*$D$81*12</f>
        <v>0</v>
      </c>
      <c r="O55" s="76">
        <f>'WW-Dem'!O11*Sum!O372*$D$81*12</f>
        <v>0</v>
      </c>
      <c r="P55" s="76">
        <f>'WW-Dem'!P11*Sum!P372*$D$81*12</f>
        <v>0</v>
      </c>
    </row>
    <row r="56" spans="1:16" ht="12.75" customHeight="1" x14ac:dyDescent="0.25">
      <c r="A56" s="16"/>
      <c r="B56" s="3" t="s">
        <v>193</v>
      </c>
      <c r="C56" s="25"/>
      <c r="D56" s="25"/>
      <c r="E56" s="20">
        <f t="shared" ref="E56:I56" si="16">SUM(E53:E54)</f>
        <v>906208.91999999993</v>
      </c>
      <c r="F56" s="20">
        <f t="shared" si="16"/>
        <v>906208.91999999993</v>
      </c>
      <c r="G56" s="160">
        <f t="shared" si="16"/>
        <v>1178071.5960000001</v>
      </c>
      <c r="H56" s="20">
        <f t="shared" si="16"/>
        <v>1531493.0748000001</v>
      </c>
      <c r="I56" s="20">
        <f t="shared" si="16"/>
        <v>1531493.0748000001</v>
      </c>
      <c r="J56" s="20">
        <f t="shared" ref="J56:P56" si="17">SUM(J53:J54)</f>
        <v>1531493.0748000001</v>
      </c>
      <c r="K56" s="20">
        <f t="shared" si="17"/>
        <v>1531493.0748000001</v>
      </c>
      <c r="L56" s="20">
        <f t="shared" si="17"/>
        <v>1531493.0748000001</v>
      </c>
      <c r="M56" s="20">
        <f t="shared" si="17"/>
        <v>1531493.0748000001</v>
      </c>
      <c r="N56" s="20">
        <f t="shared" si="17"/>
        <v>1531493.0748000001</v>
      </c>
      <c r="O56" s="20">
        <f t="shared" si="17"/>
        <v>1531493.0748000001</v>
      </c>
      <c r="P56" s="20">
        <f t="shared" si="17"/>
        <v>1531493.0748000001</v>
      </c>
    </row>
    <row r="57" spans="1:16" ht="12.75" customHeight="1" x14ac:dyDescent="0.25">
      <c r="A57" s="16"/>
      <c r="B57" s="37"/>
      <c r="C57" s="37"/>
      <c r="D57" s="37"/>
      <c r="E57" s="3"/>
      <c r="F57" s="3"/>
      <c r="G57" s="151"/>
      <c r="H57" s="3"/>
      <c r="I57" s="3"/>
      <c r="J57" s="3"/>
      <c r="K57" s="3"/>
      <c r="L57" s="3"/>
      <c r="M57" s="3"/>
      <c r="N57" s="3"/>
      <c r="O57" s="3"/>
      <c r="P57" s="3"/>
    </row>
    <row r="58" spans="1:16" ht="12.75" customHeight="1" x14ac:dyDescent="0.25">
      <c r="A58" s="29" t="s">
        <v>0</v>
      </c>
      <c r="B58" s="25"/>
      <c r="C58" s="25"/>
      <c r="D58" s="25"/>
      <c r="E58" s="3"/>
      <c r="F58" s="3"/>
      <c r="G58" s="151"/>
      <c r="H58" s="3"/>
      <c r="I58" s="3"/>
      <c r="J58" s="3"/>
      <c r="K58" s="3"/>
      <c r="L58" s="3"/>
      <c r="M58" s="3"/>
      <c r="N58" s="3"/>
      <c r="O58" s="3"/>
      <c r="P58" s="3"/>
    </row>
    <row r="59" spans="1:16" ht="12.75" customHeight="1" x14ac:dyDescent="0.25">
      <c r="A59" s="3"/>
      <c r="B59" s="25" t="s">
        <v>223</v>
      </c>
      <c r="C59" s="25"/>
      <c r="D59" s="25"/>
      <c r="E59" s="20">
        <f>'WW-Dem'!E15*Sum!E375*D81*12</f>
        <v>99033.12</v>
      </c>
      <c r="F59" s="20">
        <f>'WW-Dem'!F15*Sum!F375*D81*12</f>
        <v>99033.12</v>
      </c>
      <c r="G59" s="160">
        <f>'WW-Dem'!G15*Sum!G375*D81*12</f>
        <v>128743.056</v>
      </c>
      <c r="H59" s="20">
        <f>'WW-Dem'!H15*Sum!H375*D81*12</f>
        <v>167365.97279999999</v>
      </c>
      <c r="I59" s="20">
        <f>'WW-Dem'!I15*Sum!I375*$D$81*12</f>
        <v>167365.97279999999</v>
      </c>
      <c r="J59" s="20">
        <f>'WW-Dem'!J15*Sum!J375*$D$81*12</f>
        <v>167365.97279999999</v>
      </c>
      <c r="K59" s="20">
        <f>'WW-Dem'!K15*Sum!K375*$D$81*12</f>
        <v>167365.97279999999</v>
      </c>
      <c r="L59" s="20">
        <f>'WW-Dem'!L15*Sum!L375*$D$81*12</f>
        <v>167365.97279999999</v>
      </c>
      <c r="M59" s="20">
        <f>'WW-Dem'!M15*Sum!M375*$D$81*12</f>
        <v>167365.97279999999</v>
      </c>
      <c r="N59" s="20">
        <f>'WW-Dem'!N15*Sum!N375*$D$81*12</f>
        <v>167365.97279999999</v>
      </c>
      <c r="O59" s="20">
        <f>'WW-Dem'!O15*Sum!O375*$D$81*12</f>
        <v>167365.97279999999</v>
      </c>
      <c r="P59" s="20">
        <f>'WW-Dem'!P15*Sum!P375*$D$81*12</f>
        <v>167365.97279999999</v>
      </c>
    </row>
    <row r="60" spans="1:16" ht="12.75" customHeight="1" x14ac:dyDescent="0.25">
      <c r="A60" s="3"/>
      <c r="B60" s="25" t="s">
        <v>320</v>
      </c>
      <c r="C60" s="25"/>
      <c r="D60" s="25"/>
      <c r="E60" s="20">
        <f>'WW-Dem'!E16*Sum!E376*D81*12</f>
        <v>279.36</v>
      </c>
      <c r="F60" s="20">
        <f>'WW-Dem'!F16*Sum!F376*D81*12</f>
        <v>279.36</v>
      </c>
      <c r="G60" s="160">
        <f>'WW-Dem'!G16*Sum!G376*D81*12</f>
        <v>363.16800000000001</v>
      </c>
      <c r="H60" s="20">
        <f>'WW-Dem'!H16*Sum!H376*D81*12</f>
        <v>472.11840000000007</v>
      </c>
      <c r="I60" s="20">
        <f>'WW-Dem'!I16*Sum!I376*$D$81*12</f>
        <v>472.11840000000007</v>
      </c>
      <c r="J60" s="20">
        <f>'WW-Dem'!J16*Sum!J376*$D$81*12</f>
        <v>472.11840000000007</v>
      </c>
      <c r="K60" s="20">
        <f>'WW-Dem'!K16*Sum!K376*$D$81*12</f>
        <v>472.11840000000007</v>
      </c>
      <c r="L60" s="20">
        <f>'WW-Dem'!L16*Sum!L376*$D$81*12</f>
        <v>472.11840000000007</v>
      </c>
      <c r="M60" s="20">
        <f>'WW-Dem'!M16*Sum!M376*$D$81*12</f>
        <v>472.11840000000007</v>
      </c>
      <c r="N60" s="20">
        <f>'WW-Dem'!N16*Sum!N376*$D$81*12</f>
        <v>472.11840000000007</v>
      </c>
      <c r="O60" s="20">
        <f>'WW-Dem'!O16*Sum!O376*$D$81*12</f>
        <v>472.11840000000007</v>
      </c>
      <c r="P60" s="20">
        <f>'WW-Dem'!P16*Sum!P376*$D$81*12</f>
        <v>472.11840000000007</v>
      </c>
    </row>
    <row r="61" spans="1:16" ht="12.75" customHeight="1" x14ac:dyDescent="0.25">
      <c r="A61" s="3"/>
      <c r="B61" s="47" t="s">
        <v>299</v>
      </c>
      <c r="C61" s="47"/>
      <c r="D61" s="47"/>
      <c r="E61" s="76">
        <f>'WW-Dem'!E17*Sum!E375*D81*12</f>
        <v>0</v>
      </c>
      <c r="F61" s="76">
        <f>'WW-Dem'!F17*Sum!F375*D81*12</f>
        <v>0</v>
      </c>
      <c r="G61" s="177">
        <f>'WW-Dem'!G17*Sum!G375*D81*12</f>
        <v>0</v>
      </c>
      <c r="H61" s="76">
        <f>'WW-Dem'!H17*Sum!H375*D81*12</f>
        <v>0</v>
      </c>
      <c r="I61" s="76">
        <f>'WW-Dem'!I17*Sum!I375*$D$81*12</f>
        <v>0</v>
      </c>
      <c r="J61" s="76">
        <f>'WW-Dem'!J17*Sum!J375*$D$81*12</f>
        <v>0</v>
      </c>
      <c r="K61" s="76">
        <f>'WW-Dem'!K17*Sum!K375*$D$81*12</f>
        <v>0</v>
      </c>
      <c r="L61" s="76">
        <f>'WW-Dem'!L17*Sum!L375*$D$81*12</f>
        <v>0</v>
      </c>
      <c r="M61" s="76">
        <f>'WW-Dem'!M17*Sum!M375*$D$81*12</f>
        <v>0</v>
      </c>
      <c r="N61" s="76">
        <f>'WW-Dem'!N17*Sum!N375*$D$81*12</f>
        <v>0</v>
      </c>
      <c r="O61" s="76">
        <f>'WW-Dem'!O17*Sum!O375*$D$81*12</f>
        <v>0</v>
      </c>
      <c r="P61" s="76">
        <f>'WW-Dem'!P17*Sum!P375*$D$81*12</f>
        <v>0</v>
      </c>
    </row>
    <row r="62" spans="1:16" ht="12.75" customHeight="1" x14ac:dyDescent="0.25">
      <c r="A62" s="16"/>
      <c r="B62" s="3" t="s">
        <v>194</v>
      </c>
      <c r="C62" s="25"/>
      <c r="D62" s="25"/>
      <c r="E62" s="20">
        <f t="shared" ref="E62:I62" si="18">SUM(E59:E60)</f>
        <v>99312.48</v>
      </c>
      <c r="F62" s="20">
        <f t="shared" si="18"/>
        <v>99312.48</v>
      </c>
      <c r="G62" s="160">
        <f t="shared" si="18"/>
        <v>129106.224</v>
      </c>
      <c r="H62" s="20">
        <f t="shared" si="18"/>
        <v>167838.0912</v>
      </c>
      <c r="I62" s="20">
        <f t="shared" si="18"/>
        <v>167838.0912</v>
      </c>
      <c r="J62" s="20">
        <f t="shared" ref="J62:P62" si="19">SUM(J59:J60)</f>
        <v>167838.0912</v>
      </c>
      <c r="K62" s="20">
        <f t="shared" si="19"/>
        <v>167838.0912</v>
      </c>
      <c r="L62" s="20">
        <f t="shared" si="19"/>
        <v>167838.0912</v>
      </c>
      <c r="M62" s="20">
        <f t="shared" si="19"/>
        <v>167838.0912</v>
      </c>
      <c r="N62" s="20">
        <f t="shared" si="19"/>
        <v>167838.0912</v>
      </c>
      <c r="O62" s="20">
        <f t="shared" si="19"/>
        <v>167838.0912</v>
      </c>
      <c r="P62" s="20">
        <f t="shared" si="19"/>
        <v>167838.0912</v>
      </c>
    </row>
    <row r="63" spans="1:16" ht="12.75" customHeight="1" thickBot="1" x14ac:dyDescent="0.3">
      <c r="A63" s="32"/>
      <c r="B63" s="32"/>
      <c r="C63" s="57"/>
      <c r="D63" s="57"/>
      <c r="E63" s="308"/>
      <c r="F63" s="308"/>
      <c r="G63" s="309"/>
      <c r="H63" s="308"/>
      <c r="I63" s="308"/>
      <c r="J63" s="308"/>
      <c r="K63" s="308"/>
      <c r="L63" s="308"/>
      <c r="M63" s="308"/>
      <c r="N63" s="308"/>
      <c r="O63" s="308"/>
      <c r="P63" s="308"/>
    </row>
    <row r="64" spans="1:16" ht="12.75" customHeight="1" thickTop="1" x14ac:dyDescent="0.25">
      <c r="A64" s="77" t="s">
        <v>92</v>
      </c>
      <c r="B64" s="3"/>
      <c r="C64" s="25"/>
      <c r="D64" s="25"/>
      <c r="E64" s="20">
        <f t="shared" ref="E64:I64" si="20">E56+E62</f>
        <v>1005521.3999999999</v>
      </c>
      <c r="F64" s="20">
        <f t="shared" si="20"/>
        <v>1005521.3999999999</v>
      </c>
      <c r="G64" s="160">
        <f t="shared" si="20"/>
        <v>1307177.82</v>
      </c>
      <c r="H64" s="20">
        <f t="shared" si="20"/>
        <v>1699331.166</v>
      </c>
      <c r="I64" s="20">
        <f t="shared" si="20"/>
        <v>1699331.166</v>
      </c>
      <c r="J64" s="20">
        <f t="shared" ref="J64:P64" si="21">J56+J62</f>
        <v>1699331.166</v>
      </c>
      <c r="K64" s="20">
        <f t="shared" si="21"/>
        <v>1699331.166</v>
      </c>
      <c r="L64" s="20">
        <f t="shared" si="21"/>
        <v>1699331.166</v>
      </c>
      <c r="M64" s="20">
        <f t="shared" si="21"/>
        <v>1699331.166</v>
      </c>
      <c r="N64" s="20">
        <f t="shared" si="21"/>
        <v>1699331.166</v>
      </c>
      <c r="O64" s="20">
        <f t="shared" si="21"/>
        <v>1699331.166</v>
      </c>
      <c r="P64" s="20">
        <f t="shared" si="21"/>
        <v>1699331.166</v>
      </c>
    </row>
    <row r="65" spans="1:16" ht="12.75" customHeight="1" x14ac:dyDescent="0.25">
      <c r="A65" s="77"/>
      <c r="B65" s="3"/>
      <c r="C65" s="25"/>
      <c r="D65" s="25"/>
      <c r="E65" s="20"/>
      <c r="F65" s="20"/>
      <c r="G65" s="160"/>
      <c r="H65" s="20"/>
      <c r="I65" s="20"/>
      <c r="J65" s="20"/>
      <c r="K65" s="20"/>
      <c r="L65" s="20"/>
      <c r="M65" s="20"/>
      <c r="N65" s="20"/>
      <c r="O65" s="20"/>
      <c r="P65" s="20"/>
    </row>
    <row r="66" spans="1:16" ht="12.75" customHeight="1" x14ac:dyDescent="0.25">
      <c r="A66" s="77" t="s">
        <v>90</v>
      </c>
      <c r="B66" s="37"/>
      <c r="C66" s="37"/>
      <c r="D66" s="37"/>
      <c r="E66" s="3"/>
      <c r="F66" s="3"/>
      <c r="G66" s="151"/>
      <c r="H66" s="3"/>
      <c r="I66" s="3"/>
      <c r="J66" s="3"/>
      <c r="K66" s="3"/>
      <c r="L66" s="3"/>
      <c r="M66" s="3"/>
      <c r="N66" s="3"/>
      <c r="O66" s="3"/>
      <c r="P66" s="3"/>
    </row>
    <row r="67" spans="1:16" ht="12.75" customHeight="1" x14ac:dyDescent="0.25">
      <c r="A67" s="29" t="s">
        <v>191</v>
      </c>
      <c r="B67" s="25"/>
      <c r="C67" s="37"/>
      <c r="D67" s="37"/>
      <c r="E67" s="3"/>
      <c r="F67" s="3"/>
      <c r="G67" s="151"/>
      <c r="H67" s="3"/>
      <c r="I67" s="3"/>
      <c r="J67" s="3"/>
      <c r="K67" s="3"/>
      <c r="L67" s="3"/>
      <c r="M67" s="3"/>
      <c r="N67" s="3"/>
      <c r="O67" s="3"/>
      <c r="P67" s="3"/>
    </row>
    <row r="68" spans="1:16" ht="12.75" customHeight="1" x14ac:dyDescent="0.25">
      <c r="A68" s="3"/>
      <c r="B68" s="25" t="s">
        <v>223</v>
      </c>
      <c r="C68" s="37"/>
      <c r="D68" s="37"/>
      <c r="E68" s="13">
        <f>('WW-Dem'!E54*1000)*Sum!E381*D81</f>
        <v>718625.8385999999</v>
      </c>
      <c r="F68" s="13">
        <f>('WW-Dem'!F54*1000)*Sum!F381*D81</f>
        <v>718625.83859999978</v>
      </c>
      <c r="G68" s="153">
        <f>('WW-Dem'!G54*1000)*Sum!G381*D81</f>
        <v>934213.59017999971</v>
      </c>
      <c r="H68" s="13">
        <f>('WW-Dem'!H54*1000)*Sum!H381*D81</f>
        <v>1214477.6672339998</v>
      </c>
      <c r="I68" s="13">
        <f>('WW-Dem'!I54*1000)*Sum!I381*$D$81</f>
        <v>1214477.6672339998</v>
      </c>
      <c r="J68" s="13">
        <f>('WW-Dem'!J54*1000)*Sum!J381*$D$81</f>
        <v>1214477.6672339998</v>
      </c>
      <c r="K68" s="13">
        <f>('WW-Dem'!K54*1000)*Sum!K381*$D$81</f>
        <v>1214477.6672339998</v>
      </c>
      <c r="L68" s="13">
        <f>('WW-Dem'!L54*1000)*Sum!L381*$D$81</f>
        <v>1214477.6672339998</v>
      </c>
      <c r="M68" s="13">
        <f>('WW-Dem'!M54*1000)*Sum!M381*$D$81</f>
        <v>1214477.6672339998</v>
      </c>
      <c r="N68" s="13">
        <f>('WW-Dem'!N54*1000)*Sum!N381*$D$81</f>
        <v>1214477.6672339998</v>
      </c>
      <c r="O68" s="13">
        <f>('WW-Dem'!O54*1000)*Sum!O381*$D$81</f>
        <v>1214477.6672339998</v>
      </c>
      <c r="P68" s="13">
        <f>('WW-Dem'!P54*1000)*Sum!P381*$D$81</f>
        <v>1214477.6672339998</v>
      </c>
    </row>
    <row r="69" spans="1:16" ht="12.75" customHeight="1" x14ac:dyDescent="0.25">
      <c r="A69" s="3"/>
      <c r="B69" s="25" t="s">
        <v>320</v>
      </c>
      <c r="C69" s="37"/>
      <c r="D69" s="37"/>
      <c r="E69" s="13">
        <f>('WW-Dem'!E55*1000)*Sum!E382*D81</f>
        <v>841193.46720000007</v>
      </c>
      <c r="F69" s="13">
        <f>('WW-Dem'!F55*1000)*Sum!F382*D81</f>
        <v>841193.46719999996</v>
      </c>
      <c r="G69" s="153">
        <f>('WW-Dem'!G55*1000)*Sum!G382*D81</f>
        <v>1093551.5073599999</v>
      </c>
      <c r="H69" s="13">
        <f>('WW-Dem'!H55*1000)*Sum!H382*D81</f>
        <v>1421616.9595679999</v>
      </c>
      <c r="I69" s="13">
        <f>('WW-Dem'!I55*1000)*Sum!I382*$D$81</f>
        <v>1421616.9595679999</v>
      </c>
      <c r="J69" s="13">
        <f>('WW-Dem'!J55*1000)*Sum!J382*$D$81</f>
        <v>1421616.9595679999</v>
      </c>
      <c r="K69" s="13">
        <f>('WW-Dem'!K55*1000)*Sum!K382*$D$81</f>
        <v>1421616.9595679999</v>
      </c>
      <c r="L69" s="13">
        <f>('WW-Dem'!L55*1000)*Sum!L382*$D$81</f>
        <v>1421616.9595679999</v>
      </c>
      <c r="M69" s="13">
        <f>('WW-Dem'!M55*1000)*Sum!M382*$D$81</f>
        <v>1421616.9595679999</v>
      </c>
      <c r="N69" s="13">
        <f>('WW-Dem'!N55*1000)*Sum!N382*$D$81</f>
        <v>1421616.9595679999</v>
      </c>
      <c r="O69" s="13">
        <f>('WW-Dem'!O55*1000)*Sum!O382*$D$81</f>
        <v>1421616.9595679999</v>
      </c>
      <c r="P69" s="13">
        <f>('WW-Dem'!P55*1000)*Sum!P382*$D$81</f>
        <v>1421616.9595679999</v>
      </c>
    </row>
    <row r="70" spans="1:16" ht="12.75" customHeight="1" x14ac:dyDescent="0.25">
      <c r="A70" s="3"/>
      <c r="B70" s="47" t="s">
        <v>346</v>
      </c>
      <c r="C70" s="93"/>
      <c r="D70" s="93"/>
      <c r="E70" s="30">
        <f>('WW-Dem'!E56*1000)*Sum!E381*D81</f>
        <v>0</v>
      </c>
      <c r="F70" s="30">
        <f>('WW-Dem'!F56*1000)*Sum!F381*D81</f>
        <v>0</v>
      </c>
      <c r="G70" s="154">
        <f>('WW-Dem'!G56*1000)*Sum!G381*D81</f>
        <v>0</v>
      </c>
      <c r="H70" s="30">
        <f>('WW-Dem'!H56*1000)*Sum!H381*D81</f>
        <v>0</v>
      </c>
      <c r="I70" s="30">
        <f>('WW-Dem'!I56*1000)*Sum!I381*$D$81</f>
        <v>0</v>
      </c>
      <c r="J70" s="30">
        <f>('WW-Dem'!J56*1000)*Sum!J381*$D$81</f>
        <v>0</v>
      </c>
      <c r="K70" s="30">
        <f>('WW-Dem'!K56*1000)*Sum!K381*$D$81</f>
        <v>0</v>
      </c>
      <c r="L70" s="30">
        <f>('WW-Dem'!L56*1000)*Sum!L381*$D$81</f>
        <v>0</v>
      </c>
      <c r="M70" s="30">
        <f>('WW-Dem'!M56*1000)*Sum!M381*$D$81</f>
        <v>0</v>
      </c>
      <c r="N70" s="30">
        <f>('WW-Dem'!N56*1000)*Sum!N381*$D$81</f>
        <v>0</v>
      </c>
      <c r="O70" s="30">
        <f>('WW-Dem'!O56*1000)*Sum!O381*$D$81</f>
        <v>0</v>
      </c>
      <c r="P70" s="30">
        <f>('WW-Dem'!P56*1000)*Sum!P381*$D$81</f>
        <v>0</v>
      </c>
    </row>
    <row r="71" spans="1:16" ht="12.75" customHeight="1" x14ac:dyDescent="0.25">
      <c r="A71" s="16"/>
      <c r="B71" s="3" t="s">
        <v>193</v>
      </c>
      <c r="C71" s="37"/>
      <c r="D71" s="37"/>
      <c r="E71" s="20">
        <f t="shared" ref="E71:I71" si="22">SUM(E68:E69)</f>
        <v>1559819.3058</v>
      </c>
      <c r="F71" s="20">
        <f t="shared" si="22"/>
        <v>1559819.3057999997</v>
      </c>
      <c r="G71" s="153">
        <f t="shared" si="22"/>
        <v>2027765.0975399995</v>
      </c>
      <c r="H71" s="13">
        <f t="shared" si="22"/>
        <v>2636094.6268019998</v>
      </c>
      <c r="I71" s="13">
        <f t="shared" si="22"/>
        <v>2636094.6268019998</v>
      </c>
      <c r="J71" s="13">
        <f t="shared" ref="J71:P71" si="23">SUM(J68:J69)</f>
        <v>2636094.6268019998</v>
      </c>
      <c r="K71" s="13">
        <f t="shared" si="23"/>
        <v>2636094.6268019998</v>
      </c>
      <c r="L71" s="13">
        <f t="shared" si="23"/>
        <v>2636094.6268019998</v>
      </c>
      <c r="M71" s="13">
        <f t="shared" si="23"/>
        <v>2636094.6268019998</v>
      </c>
      <c r="N71" s="13">
        <f t="shared" si="23"/>
        <v>2636094.6268019998</v>
      </c>
      <c r="O71" s="13">
        <f t="shared" si="23"/>
        <v>2636094.6268019998</v>
      </c>
      <c r="P71" s="13">
        <f t="shared" si="23"/>
        <v>2636094.6268019998</v>
      </c>
    </row>
    <row r="72" spans="1:16" ht="12.75" customHeight="1" x14ac:dyDescent="0.25">
      <c r="A72" s="16"/>
      <c r="B72" s="3"/>
      <c r="C72" s="37"/>
      <c r="D72" s="37"/>
      <c r="E72" s="13"/>
      <c r="F72" s="13"/>
      <c r="G72" s="153"/>
      <c r="H72" s="13"/>
      <c r="I72" s="13"/>
      <c r="J72" s="13"/>
      <c r="K72" s="13"/>
      <c r="L72" s="13"/>
      <c r="M72" s="13"/>
      <c r="N72" s="13"/>
      <c r="O72" s="13"/>
      <c r="P72" s="13"/>
    </row>
    <row r="73" spans="1:16" ht="12.75" customHeight="1" x14ac:dyDescent="0.25">
      <c r="A73" s="29" t="s">
        <v>0</v>
      </c>
      <c r="B73" s="25"/>
      <c r="C73" s="37"/>
      <c r="D73" s="37"/>
      <c r="E73" s="13"/>
      <c r="F73" s="13"/>
      <c r="G73" s="153"/>
      <c r="H73" s="13"/>
      <c r="I73" s="13"/>
      <c r="J73" s="13"/>
      <c r="K73" s="13"/>
      <c r="L73" s="13"/>
      <c r="M73" s="13"/>
      <c r="N73" s="13"/>
      <c r="O73" s="13"/>
      <c r="P73" s="13"/>
    </row>
    <row r="74" spans="1:16" ht="12.75" customHeight="1" x14ac:dyDescent="0.25">
      <c r="A74" s="3"/>
      <c r="B74" s="25" t="s">
        <v>223</v>
      </c>
      <c r="C74" s="37"/>
      <c r="D74" s="37"/>
      <c r="E74" s="13">
        <f>('WW-Dem'!E60*1000)*Sum!E386*C81</f>
        <v>0</v>
      </c>
      <c r="F74" s="13">
        <f>('WW-Dem'!F60*1000)*Sum!F386*D81</f>
        <v>10715.900399999999</v>
      </c>
      <c r="G74" s="153">
        <f>('WW-Dem'!G60*1000)*Sum!G386*D81</f>
        <v>13930.67052</v>
      </c>
      <c r="H74" s="13">
        <f>('WW-Dem'!H60*1000)*Sum!H386*D81</f>
        <v>18109.871676000002</v>
      </c>
      <c r="I74" s="13">
        <f>('WW-Dem'!I60*1000)*Sum!I386*$D$81</f>
        <v>18109.871676000002</v>
      </c>
      <c r="J74" s="13">
        <f>('WW-Dem'!J60*1000)*Sum!J386*$D$81</f>
        <v>18109.871676000002</v>
      </c>
      <c r="K74" s="13">
        <f>('WW-Dem'!K60*1000)*Sum!K386*$D$81</f>
        <v>18109.871676000002</v>
      </c>
      <c r="L74" s="13">
        <f>('WW-Dem'!L60*1000)*Sum!L386*$D$81</f>
        <v>18109.871676000002</v>
      </c>
      <c r="M74" s="13">
        <f>('WW-Dem'!M60*1000)*Sum!M386*$D$81</f>
        <v>18109.871676000002</v>
      </c>
      <c r="N74" s="13">
        <f>('WW-Dem'!N60*1000)*Sum!N386*$D$81</f>
        <v>18109.871676000002</v>
      </c>
      <c r="O74" s="13">
        <f>('WW-Dem'!O60*1000)*Sum!O386*$D$81</f>
        <v>18109.871676000002</v>
      </c>
      <c r="P74" s="13">
        <f>('WW-Dem'!P60*1000)*Sum!P386*$D$81</f>
        <v>18109.871676000002</v>
      </c>
    </row>
    <row r="75" spans="1:16" ht="12.75" customHeight="1" x14ac:dyDescent="0.25">
      <c r="A75" s="3"/>
      <c r="B75" s="25" t="s">
        <v>320</v>
      </c>
      <c r="C75" s="37"/>
      <c r="D75" s="37"/>
      <c r="E75" s="13">
        <f>('WW-Dem'!E61*1000)*Sum!E387*C82</f>
        <v>0</v>
      </c>
      <c r="F75" s="13">
        <f>('WW-Dem'!F61*1000)*Sum!F387*D81</f>
        <v>1118.8368</v>
      </c>
      <c r="G75" s="153">
        <f>('WW-Dem'!G61*1000)*Sum!G387*D81</f>
        <v>1454.48784</v>
      </c>
      <c r="H75" s="13">
        <f>('WW-Dem'!H61*1000)*Sum!H387*D81</f>
        <v>1890.834192</v>
      </c>
      <c r="I75" s="13">
        <f>('WW-Dem'!I61*1000)*Sum!I387*$D$81</f>
        <v>1890.834192</v>
      </c>
      <c r="J75" s="13">
        <f>('WW-Dem'!J61*1000)*Sum!J387*$D$81</f>
        <v>1890.834192</v>
      </c>
      <c r="K75" s="13">
        <f>('WW-Dem'!K61*1000)*Sum!K387*$D$81</f>
        <v>1890.834192</v>
      </c>
      <c r="L75" s="13">
        <f>('WW-Dem'!L61*1000)*Sum!L387*$D$81</f>
        <v>1890.834192</v>
      </c>
      <c r="M75" s="13">
        <f>('WW-Dem'!M61*1000)*Sum!M387*$D$81</f>
        <v>1890.834192</v>
      </c>
      <c r="N75" s="13">
        <f>('WW-Dem'!N61*1000)*Sum!N387*$D$81</f>
        <v>1890.834192</v>
      </c>
      <c r="O75" s="13">
        <f>('WW-Dem'!O61*1000)*Sum!O387*$D$81</f>
        <v>1890.834192</v>
      </c>
      <c r="P75" s="13">
        <f>('WW-Dem'!P61*1000)*Sum!P387*$D$81</f>
        <v>1890.834192</v>
      </c>
    </row>
    <row r="76" spans="1:16" ht="12.75" customHeight="1" x14ac:dyDescent="0.25">
      <c r="A76" s="3"/>
      <c r="B76" s="47" t="s">
        <v>299</v>
      </c>
      <c r="C76" s="93"/>
      <c r="D76" s="93"/>
      <c r="E76" s="30">
        <f>('WW-Dem'!E62*1000)*Sum!E386*D81</f>
        <v>0</v>
      </c>
      <c r="F76" s="30">
        <f>('WW-Dem'!F62*1000)*Sum!F386*D81</f>
        <v>0</v>
      </c>
      <c r="G76" s="154">
        <f>('WW-Dem'!G62*1000)*Sum!G386*D81</f>
        <v>0</v>
      </c>
      <c r="H76" s="30">
        <f>('WW-Dem'!H62*1000)*Sum!H386*D81</f>
        <v>0</v>
      </c>
      <c r="I76" s="30">
        <f>('WW-Dem'!I62*1000)*Sum!I386*$D$81</f>
        <v>0</v>
      </c>
      <c r="J76" s="30">
        <f>('WW-Dem'!J62*1000)*Sum!J386*$D$81</f>
        <v>0</v>
      </c>
      <c r="K76" s="30">
        <f>('WW-Dem'!K62*1000)*Sum!K386*$D$81</f>
        <v>0</v>
      </c>
      <c r="L76" s="30">
        <f>('WW-Dem'!L62*1000)*Sum!L386*$D$81</f>
        <v>0</v>
      </c>
      <c r="M76" s="30">
        <f>('WW-Dem'!M62*1000)*Sum!M386*$D$81</f>
        <v>0</v>
      </c>
      <c r="N76" s="30">
        <f>('WW-Dem'!N62*1000)*Sum!N386*$D$81</f>
        <v>0</v>
      </c>
      <c r="O76" s="30">
        <f>('WW-Dem'!O62*1000)*Sum!O386*$D$81</f>
        <v>0</v>
      </c>
      <c r="P76" s="30">
        <f>('WW-Dem'!P62*1000)*Sum!P386*$D$81</f>
        <v>0</v>
      </c>
    </row>
    <row r="77" spans="1:16" ht="12.75" customHeight="1" x14ac:dyDescent="0.25">
      <c r="A77" s="16"/>
      <c r="B77" s="3" t="s">
        <v>194</v>
      </c>
      <c r="C77" s="37"/>
      <c r="D77" s="37"/>
      <c r="E77" s="20">
        <f t="shared" ref="E77:I77" si="24">SUM(E74:E75)</f>
        <v>0</v>
      </c>
      <c r="F77" s="20">
        <f t="shared" si="24"/>
        <v>11834.7372</v>
      </c>
      <c r="G77" s="153">
        <f t="shared" si="24"/>
        <v>15385.158359999999</v>
      </c>
      <c r="H77" s="13">
        <f t="shared" si="24"/>
        <v>20000.705868000001</v>
      </c>
      <c r="I77" s="13">
        <f t="shared" si="24"/>
        <v>20000.705868000001</v>
      </c>
      <c r="J77" s="13">
        <f t="shared" ref="J77:P77" si="25">SUM(J74:J75)</f>
        <v>20000.705868000001</v>
      </c>
      <c r="K77" s="13">
        <f t="shared" si="25"/>
        <v>20000.705868000001</v>
      </c>
      <c r="L77" s="13">
        <f t="shared" si="25"/>
        <v>20000.705868000001</v>
      </c>
      <c r="M77" s="13">
        <f t="shared" si="25"/>
        <v>20000.705868000001</v>
      </c>
      <c r="N77" s="13">
        <f t="shared" si="25"/>
        <v>20000.705868000001</v>
      </c>
      <c r="O77" s="13">
        <f t="shared" si="25"/>
        <v>20000.705868000001</v>
      </c>
      <c r="P77" s="13">
        <f t="shared" si="25"/>
        <v>20000.705868000001</v>
      </c>
    </row>
    <row r="78" spans="1:16" ht="12.75" customHeight="1" thickBot="1" x14ac:dyDescent="0.3">
      <c r="A78" s="31"/>
      <c r="B78" s="32"/>
      <c r="C78" s="94"/>
      <c r="D78" s="94"/>
      <c r="E78" s="33"/>
      <c r="F78" s="33"/>
      <c r="G78" s="174"/>
      <c r="H78" s="33"/>
      <c r="I78" s="33"/>
      <c r="J78" s="33"/>
      <c r="K78" s="33"/>
      <c r="L78" s="33"/>
      <c r="M78" s="33"/>
      <c r="N78" s="33"/>
      <c r="O78" s="33"/>
      <c r="P78" s="33"/>
    </row>
    <row r="79" spans="1:16" ht="12.75" customHeight="1" thickTop="1" x14ac:dyDescent="0.25">
      <c r="A79" s="77" t="s">
        <v>93</v>
      </c>
      <c r="B79" s="37"/>
      <c r="C79" s="37"/>
      <c r="D79" s="37"/>
      <c r="E79" s="13">
        <f t="shared" ref="E79:I79" si="26">E71+E77</f>
        <v>1559819.3058</v>
      </c>
      <c r="F79" s="13">
        <f t="shared" si="26"/>
        <v>1571654.0429999998</v>
      </c>
      <c r="G79" s="153">
        <f t="shared" si="26"/>
        <v>2043150.2558999995</v>
      </c>
      <c r="H79" s="13">
        <f t="shared" si="26"/>
        <v>2656095.3326699999</v>
      </c>
      <c r="I79" s="13">
        <f t="shared" si="26"/>
        <v>2656095.3326699999</v>
      </c>
      <c r="J79" s="13">
        <f t="shared" ref="J79:P79" si="27">J71+J77</f>
        <v>2656095.3326699999</v>
      </c>
      <c r="K79" s="13">
        <f t="shared" si="27"/>
        <v>2656095.3326699999</v>
      </c>
      <c r="L79" s="13">
        <f t="shared" si="27"/>
        <v>2656095.3326699999</v>
      </c>
      <c r="M79" s="13">
        <f t="shared" si="27"/>
        <v>2656095.3326699999</v>
      </c>
      <c r="N79" s="13">
        <f t="shared" si="27"/>
        <v>2656095.3326699999</v>
      </c>
      <c r="O79" s="13">
        <f t="shared" si="27"/>
        <v>2656095.3326699999</v>
      </c>
      <c r="P79" s="13">
        <f t="shared" si="27"/>
        <v>2656095.3326699999</v>
      </c>
    </row>
    <row r="80" spans="1:16" ht="12.75" customHeight="1" thickBot="1" x14ac:dyDescent="0.3">
      <c r="A80" s="14"/>
      <c r="B80" s="91"/>
      <c r="C80" s="91"/>
      <c r="D80" s="91"/>
      <c r="E80" s="7"/>
      <c r="F80" s="7"/>
      <c r="G80" s="152"/>
      <c r="H80" s="7"/>
      <c r="I80" s="7"/>
      <c r="J80" s="7"/>
      <c r="K80" s="7"/>
      <c r="L80" s="7"/>
      <c r="M80" s="7"/>
      <c r="N80" s="7"/>
      <c r="O80" s="7"/>
      <c r="P80" s="7"/>
    </row>
    <row r="81" spans="1:16" ht="12.75" customHeight="1" x14ac:dyDescent="0.25">
      <c r="A81" s="62" t="s">
        <v>306</v>
      </c>
      <c r="B81" s="37"/>
      <c r="C81" s="37"/>
      <c r="D81" s="587">
        <v>0.97</v>
      </c>
      <c r="E81" s="3"/>
      <c r="F81" s="3"/>
      <c r="G81" s="341"/>
      <c r="H81" s="3"/>
      <c r="I81" s="3"/>
      <c r="J81" s="3"/>
      <c r="K81" s="3"/>
      <c r="L81" s="3"/>
      <c r="M81" s="3"/>
      <c r="N81" s="3"/>
      <c r="O81" s="3"/>
      <c r="P81" s="3"/>
    </row>
    <row r="82" spans="1:16" ht="12.75" customHeight="1" x14ac:dyDescent="0.25">
      <c r="A82" s="16"/>
      <c r="B82" s="37"/>
      <c r="C82" s="37"/>
      <c r="D82" s="37"/>
      <c r="E82" s="3"/>
      <c r="F82" s="3"/>
      <c r="G82" s="338"/>
      <c r="H82" s="3"/>
      <c r="I82" s="3"/>
      <c r="J82" s="3"/>
      <c r="K82" s="3"/>
      <c r="L82" s="3"/>
      <c r="M82" s="3"/>
      <c r="N82" s="3"/>
      <c r="O82" s="3"/>
      <c r="P82" s="3"/>
    </row>
    <row r="83" spans="1:16" ht="12.75" customHeight="1" x14ac:dyDescent="0.25">
      <c r="A83" s="16"/>
      <c r="B83" s="37"/>
      <c r="C83" s="37"/>
      <c r="D83" s="37"/>
      <c r="E83" s="3"/>
      <c r="F83" s="3"/>
      <c r="G83" s="3"/>
      <c r="H83" s="3"/>
      <c r="I83" s="3"/>
      <c r="J83" s="3"/>
      <c r="K83" s="3"/>
      <c r="L83" s="3"/>
      <c r="M83" s="3"/>
      <c r="N83" s="3"/>
      <c r="O83" s="3"/>
      <c r="P83" s="3"/>
    </row>
  </sheetData>
  <mergeCells count="2">
    <mergeCell ref="A49:C49"/>
    <mergeCell ref="A5:C5"/>
  </mergeCells>
  <phoneticPr fontId="13" type="noConversion"/>
  <pageMargins left="0.75" right="0.75" top="1" bottom="1" header="0.5" footer="0.5"/>
  <pageSetup scale="68"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indexed="51"/>
  </sheetPr>
  <dimension ref="A1:U247"/>
  <sheetViews>
    <sheetView zoomScale="98" zoomScaleNormal="100" workbookViewId="0">
      <selection activeCell="A170" sqref="A170"/>
    </sheetView>
  </sheetViews>
  <sheetFormatPr defaultRowHeight="12.75" customHeight="1" x14ac:dyDescent="0.25"/>
  <cols>
    <col min="1" max="1" width="11.6640625" customWidth="1"/>
    <col min="2" max="4" width="10.6640625" customWidth="1"/>
    <col min="5" max="16" width="12.6640625" customWidth="1"/>
  </cols>
  <sheetData>
    <row r="1" spans="1:21" ht="12.75" customHeight="1" x14ac:dyDescent="0.25">
      <c r="A1" s="139" t="s">
        <v>16</v>
      </c>
      <c r="B1" s="108"/>
      <c r="C1" s="108"/>
      <c r="D1" s="108"/>
      <c r="E1" s="108"/>
      <c r="F1" s="108"/>
      <c r="G1" s="108"/>
      <c r="H1" s="108"/>
      <c r="I1" s="108"/>
      <c r="J1" s="63"/>
      <c r="K1" s="63"/>
    </row>
    <row r="2" spans="1:21" ht="12.75" customHeight="1" x14ac:dyDescent="0.25">
      <c r="A2" s="139" t="s">
        <v>309</v>
      </c>
      <c r="B2" s="108"/>
      <c r="C2" s="108"/>
      <c r="D2" s="108"/>
      <c r="E2" s="108"/>
      <c r="F2" s="108"/>
      <c r="G2" s="108"/>
      <c r="H2" s="108"/>
      <c r="I2" s="108"/>
      <c r="J2" s="108"/>
      <c r="K2" s="108"/>
    </row>
    <row r="3" spans="1:21" ht="12.75" customHeight="1" x14ac:dyDescent="0.25">
      <c r="A3" s="363" t="s">
        <v>67</v>
      </c>
      <c r="B3" s="108"/>
      <c r="C3" s="108"/>
      <c r="D3" s="256"/>
      <c r="E3" s="108"/>
      <c r="F3" s="108"/>
      <c r="G3" s="108"/>
      <c r="H3" s="108"/>
      <c r="I3" s="108"/>
      <c r="J3" s="108"/>
      <c r="K3" s="108"/>
    </row>
    <row r="4" spans="1:21" ht="12.75" customHeight="1" thickBot="1" x14ac:dyDescent="0.3">
      <c r="A4" s="78" t="s">
        <v>428</v>
      </c>
      <c r="B4" s="115"/>
      <c r="C4" s="115"/>
      <c r="D4" s="115"/>
      <c r="E4" s="115"/>
      <c r="F4" s="115"/>
      <c r="G4" s="115"/>
      <c r="H4" s="115"/>
      <c r="I4" s="115"/>
      <c r="J4" s="115"/>
      <c r="K4" s="115"/>
    </row>
    <row r="5" spans="1:21" ht="12.75" customHeight="1" x14ac:dyDescent="0.25">
      <c r="A5" s="646" t="s">
        <v>215</v>
      </c>
      <c r="B5" s="646"/>
      <c r="C5" s="646"/>
      <c r="D5" s="242"/>
      <c r="E5" s="281">
        <f>Sum!E$5</f>
        <v>2023</v>
      </c>
      <c r="F5" s="281">
        <f>Sum!F$5</f>
        <v>2024</v>
      </c>
      <c r="G5" s="282">
        <f>Sum!G$5</f>
        <v>2025</v>
      </c>
      <c r="H5" s="281">
        <f>Sum!H$5</f>
        <v>2026</v>
      </c>
      <c r="I5" s="281">
        <f>Sum!I$5</f>
        <v>2027</v>
      </c>
      <c r="J5" s="281">
        <f>Sum!J$5</f>
        <v>2028</v>
      </c>
      <c r="K5" s="281">
        <f>Sum!K$5</f>
        <v>2029</v>
      </c>
      <c r="L5" s="281">
        <f>Sum!L$5</f>
        <v>2030</v>
      </c>
      <c r="M5" s="281">
        <f>Sum!M$5</f>
        <v>2031</v>
      </c>
      <c r="N5" s="281">
        <f>Sum!N$5</f>
        <v>2032</v>
      </c>
      <c r="O5" s="281">
        <f>Sum!O$5</f>
        <v>2033</v>
      </c>
      <c r="P5" s="281">
        <f>Sum!P$5</f>
        <v>2034</v>
      </c>
      <c r="R5" s="281" t="s">
        <v>294</v>
      </c>
      <c r="S5" s="281" t="s">
        <v>301</v>
      </c>
      <c r="U5" s="281" t="s">
        <v>302</v>
      </c>
    </row>
    <row r="6" spans="1:21" ht="12.75" customHeight="1" x14ac:dyDescent="0.25">
      <c r="A6" s="108"/>
      <c r="B6" s="108"/>
      <c r="C6" s="108"/>
      <c r="D6" s="108"/>
      <c r="E6" s="108"/>
      <c r="F6" s="108"/>
      <c r="G6" s="255"/>
      <c r="H6" s="108"/>
      <c r="I6" s="108"/>
      <c r="J6" s="108"/>
      <c r="K6" s="108"/>
      <c r="L6" s="108"/>
      <c r="M6" s="108"/>
      <c r="N6" s="108"/>
      <c r="O6" s="108"/>
      <c r="P6" s="108"/>
    </row>
    <row r="7" spans="1:21" ht="12.75" customHeight="1" x14ac:dyDescent="0.25">
      <c r="A7" s="139" t="s">
        <v>321</v>
      </c>
      <c r="B7" s="108"/>
      <c r="C7" s="108"/>
      <c r="D7" s="108"/>
      <c r="E7" s="108"/>
      <c r="F7" s="108"/>
      <c r="G7" s="255"/>
      <c r="H7" s="108"/>
      <c r="I7" s="108"/>
      <c r="J7" s="108"/>
      <c r="K7" s="108"/>
      <c r="L7" s="108"/>
      <c r="M7" s="108"/>
      <c r="N7" s="108"/>
      <c r="O7" s="108"/>
      <c r="P7" s="108"/>
    </row>
    <row r="8" spans="1:21" ht="12.75" customHeight="1" x14ac:dyDescent="0.25">
      <c r="A8" s="432" t="s">
        <v>382</v>
      </c>
      <c r="B8" s="108"/>
      <c r="C8" s="108"/>
      <c r="D8" s="108"/>
      <c r="E8" s="601">
        <v>112792</v>
      </c>
      <c r="F8" s="601">
        <v>0</v>
      </c>
      <c r="G8" s="602">
        <v>180000</v>
      </c>
      <c r="H8" s="579">
        <f>G8*(1+H127)</f>
        <v>185400</v>
      </c>
      <c r="I8" s="579">
        <f t="shared" ref="I8" si="0">H8*(1+I127)</f>
        <v>190962</v>
      </c>
      <c r="J8" s="579">
        <f t="shared" ref="J8:P10" si="1">I8*(1+J127)</f>
        <v>196690.86000000002</v>
      </c>
      <c r="K8" s="579">
        <f t="shared" si="1"/>
        <v>202591.58580000003</v>
      </c>
      <c r="L8" s="579">
        <f t="shared" si="1"/>
        <v>208669.33337400004</v>
      </c>
      <c r="M8" s="579">
        <f t="shared" si="1"/>
        <v>214929.41337522006</v>
      </c>
      <c r="N8" s="579">
        <f t="shared" si="1"/>
        <v>221377.29577647668</v>
      </c>
      <c r="O8" s="579">
        <f t="shared" si="1"/>
        <v>228018.61464977099</v>
      </c>
      <c r="P8" s="579">
        <f t="shared" si="1"/>
        <v>234859.17308926411</v>
      </c>
      <c r="R8" s="588">
        <v>0.5</v>
      </c>
      <c r="S8" s="589">
        <f t="shared" ref="S8" si="2">1-R8</f>
        <v>0.5</v>
      </c>
      <c r="U8" s="432" t="s">
        <v>328</v>
      </c>
    </row>
    <row r="9" spans="1:21" ht="12.75" customHeight="1" x14ac:dyDescent="0.25">
      <c r="A9" s="432" t="s">
        <v>383</v>
      </c>
      <c r="B9" s="108"/>
      <c r="C9" s="108"/>
      <c r="D9" s="108"/>
      <c r="E9" s="601">
        <v>575392</v>
      </c>
      <c r="F9" s="601">
        <v>607206</v>
      </c>
      <c r="G9" s="602">
        <v>609400</v>
      </c>
      <c r="H9" s="579">
        <f t="shared" ref="H9:I9" si="3">G9*(1+H128)</f>
        <v>627682</v>
      </c>
      <c r="I9" s="579">
        <f t="shared" si="3"/>
        <v>646512.46</v>
      </c>
      <c r="J9" s="579">
        <f t="shared" si="1"/>
        <v>665907.83380000002</v>
      </c>
      <c r="K9" s="579">
        <f t="shared" si="1"/>
        <v>685885.068814</v>
      </c>
      <c r="L9" s="579">
        <f t="shared" si="1"/>
        <v>706461.62087842007</v>
      </c>
      <c r="M9" s="579">
        <f t="shared" si="1"/>
        <v>727655.46950477269</v>
      </c>
      <c r="N9" s="579">
        <f t="shared" si="1"/>
        <v>749485.13358991593</v>
      </c>
      <c r="O9" s="579">
        <f t="shared" si="1"/>
        <v>771969.68759761343</v>
      </c>
      <c r="P9" s="579">
        <f t="shared" si="1"/>
        <v>795128.77822554181</v>
      </c>
      <c r="R9" s="588">
        <v>0.5</v>
      </c>
      <c r="S9" s="589">
        <f>1-R9</f>
        <v>0.5</v>
      </c>
      <c r="U9" s="432" t="s">
        <v>328</v>
      </c>
    </row>
    <row r="10" spans="1:21" ht="12.75" customHeight="1" x14ac:dyDescent="0.25">
      <c r="A10" s="432"/>
      <c r="B10" s="108"/>
      <c r="C10" s="108"/>
      <c r="D10" s="108"/>
      <c r="E10" s="601">
        <v>0</v>
      </c>
      <c r="F10" s="601">
        <v>0</v>
      </c>
      <c r="G10" s="602">
        <f t="shared" ref="G10:G11" si="4">F10*1.03</f>
        <v>0</v>
      </c>
      <c r="H10" s="579">
        <f t="shared" ref="H10:I10" si="5">G10*(1+H129)</f>
        <v>0</v>
      </c>
      <c r="I10" s="579">
        <f t="shared" si="5"/>
        <v>0</v>
      </c>
      <c r="J10" s="579">
        <f t="shared" si="1"/>
        <v>0</v>
      </c>
      <c r="K10" s="579">
        <f t="shared" si="1"/>
        <v>0</v>
      </c>
      <c r="L10" s="579">
        <f t="shared" si="1"/>
        <v>0</v>
      </c>
      <c r="M10" s="579">
        <f t="shared" si="1"/>
        <v>0</v>
      </c>
      <c r="N10" s="579">
        <f t="shared" si="1"/>
        <v>0</v>
      </c>
      <c r="O10" s="579">
        <f t="shared" si="1"/>
        <v>0</v>
      </c>
      <c r="P10" s="579">
        <f t="shared" si="1"/>
        <v>0</v>
      </c>
      <c r="R10" s="588">
        <v>0.5</v>
      </c>
      <c r="S10" s="589">
        <f t="shared" ref="S10:S58" si="6">1-R10</f>
        <v>0.5</v>
      </c>
      <c r="U10" s="432" t="s">
        <v>328</v>
      </c>
    </row>
    <row r="11" spans="1:21" ht="12.75" customHeight="1" x14ac:dyDescent="0.25">
      <c r="A11" s="432"/>
      <c r="B11" s="108"/>
      <c r="C11" s="108"/>
      <c r="D11" s="108"/>
      <c r="E11" s="601">
        <v>0</v>
      </c>
      <c r="F11" s="601">
        <v>0</v>
      </c>
      <c r="G11" s="602">
        <f t="shared" si="4"/>
        <v>0</v>
      </c>
      <c r="H11" s="579">
        <f t="shared" ref="H11:I11" si="7">G11*(1+H135)</f>
        <v>0</v>
      </c>
      <c r="I11" s="579">
        <f t="shared" si="7"/>
        <v>0</v>
      </c>
      <c r="J11" s="579">
        <f t="shared" ref="J11:P12" si="8">I11*(1+J135)</f>
        <v>0</v>
      </c>
      <c r="K11" s="579">
        <f t="shared" si="8"/>
        <v>0</v>
      </c>
      <c r="L11" s="579">
        <f t="shared" si="8"/>
        <v>0</v>
      </c>
      <c r="M11" s="579">
        <f t="shared" si="8"/>
        <v>0</v>
      </c>
      <c r="N11" s="579">
        <f t="shared" si="8"/>
        <v>0</v>
      </c>
      <c r="O11" s="579">
        <f t="shared" si="8"/>
        <v>0</v>
      </c>
      <c r="P11" s="579">
        <f t="shared" si="8"/>
        <v>0</v>
      </c>
      <c r="R11" s="588">
        <v>0.5</v>
      </c>
      <c r="S11" s="589">
        <f t="shared" si="6"/>
        <v>0.5</v>
      </c>
      <c r="U11" s="432" t="s">
        <v>328</v>
      </c>
    </row>
    <row r="12" spans="1:21" ht="12.75" customHeight="1" x14ac:dyDescent="0.25">
      <c r="A12" s="432"/>
      <c r="B12" s="108"/>
      <c r="C12" s="108"/>
      <c r="D12" s="108"/>
      <c r="E12" s="601">
        <v>0</v>
      </c>
      <c r="F12" s="601">
        <v>0</v>
      </c>
      <c r="G12" s="602">
        <v>0</v>
      </c>
      <c r="H12" s="579">
        <f t="shared" ref="H12:I12" si="9">G12*(1+H136)</f>
        <v>0</v>
      </c>
      <c r="I12" s="579">
        <f t="shared" si="9"/>
        <v>0</v>
      </c>
      <c r="J12" s="579">
        <f t="shared" si="8"/>
        <v>0</v>
      </c>
      <c r="K12" s="579">
        <f t="shared" si="8"/>
        <v>0</v>
      </c>
      <c r="L12" s="579">
        <f t="shared" si="8"/>
        <v>0</v>
      </c>
      <c r="M12" s="579">
        <f t="shared" si="8"/>
        <v>0</v>
      </c>
      <c r="N12" s="579">
        <f t="shared" si="8"/>
        <v>0</v>
      </c>
      <c r="O12" s="579">
        <f t="shared" si="8"/>
        <v>0</v>
      </c>
      <c r="P12" s="579">
        <f t="shared" si="8"/>
        <v>0</v>
      </c>
      <c r="R12" s="588">
        <v>0.5</v>
      </c>
      <c r="S12" s="589">
        <f t="shared" si="6"/>
        <v>0.5</v>
      </c>
      <c r="U12" s="432" t="s">
        <v>328</v>
      </c>
    </row>
    <row r="13" spans="1:21" ht="12.75" customHeight="1" x14ac:dyDescent="0.25">
      <c r="A13" s="432"/>
      <c r="B13" s="108"/>
      <c r="C13" s="108"/>
      <c r="D13" s="108"/>
      <c r="E13" s="601">
        <v>0</v>
      </c>
      <c r="F13" s="601">
        <v>0</v>
      </c>
      <c r="G13" s="602">
        <v>0</v>
      </c>
      <c r="H13" s="579">
        <f t="shared" ref="H13:H21" si="10">G13*(1+H137)</f>
        <v>0</v>
      </c>
      <c r="I13" s="579">
        <f t="shared" ref="I13:P21" si="11">H13*(1+I137)</f>
        <v>0</v>
      </c>
      <c r="J13" s="579">
        <f t="shared" si="11"/>
        <v>0</v>
      </c>
      <c r="K13" s="579">
        <f t="shared" si="11"/>
        <v>0</v>
      </c>
      <c r="L13" s="579">
        <f t="shared" si="11"/>
        <v>0</v>
      </c>
      <c r="M13" s="579">
        <f t="shared" si="11"/>
        <v>0</v>
      </c>
      <c r="N13" s="579">
        <f t="shared" si="11"/>
        <v>0</v>
      </c>
      <c r="O13" s="579">
        <f t="shared" si="11"/>
        <v>0</v>
      </c>
      <c r="P13" s="579">
        <f t="shared" si="11"/>
        <v>0</v>
      </c>
      <c r="R13" s="588">
        <v>0.5</v>
      </c>
      <c r="S13" s="589">
        <f t="shared" ref="S13:S17" si="12">1-R13</f>
        <v>0.5</v>
      </c>
      <c r="U13" s="432" t="s">
        <v>328</v>
      </c>
    </row>
    <row r="14" spans="1:21" ht="12.75" customHeight="1" x14ac:dyDescent="0.25">
      <c r="A14" s="432"/>
      <c r="B14" s="108"/>
      <c r="C14" s="108"/>
      <c r="D14" s="108"/>
      <c r="E14" s="601">
        <v>0</v>
      </c>
      <c r="F14" s="601">
        <v>0</v>
      </c>
      <c r="G14" s="602">
        <v>0</v>
      </c>
      <c r="H14" s="579">
        <f t="shared" si="10"/>
        <v>0</v>
      </c>
      <c r="I14" s="579">
        <f t="shared" si="11"/>
        <v>0</v>
      </c>
      <c r="J14" s="579">
        <f t="shared" ref="J14:P14" si="13">I14*(1+J138)</f>
        <v>0</v>
      </c>
      <c r="K14" s="579">
        <f t="shared" si="13"/>
        <v>0</v>
      </c>
      <c r="L14" s="579">
        <f t="shared" si="13"/>
        <v>0</v>
      </c>
      <c r="M14" s="579">
        <f t="shared" si="13"/>
        <v>0</v>
      </c>
      <c r="N14" s="579">
        <f t="shared" si="13"/>
        <v>0</v>
      </c>
      <c r="O14" s="579">
        <f t="shared" si="13"/>
        <v>0</v>
      </c>
      <c r="P14" s="579">
        <f t="shared" si="13"/>
        <v>0</v>
      </c>
      <c r="R14" s="588">
        <v>0.5</v>
      </c>
      <c r="S14" s="589">
        <f t="shared" si="12"/>
        <v>0.5</v>
      </c>
      <c r="U14" s="432" t="s">
        <v>328</v>
      </c>
    </row>
    <row r="15" spans="1:21" ht="12.75" customHeight="1" x14ac:dyDescent="0.25">
      <c r="A15" s="432"/>
      <c r="B15" s="108"/>
      <c r="C15" s="108"/>
      <c r="D15" s="108"/>
      <c r="E15" s="601">
        <v>0</v>
      </c>
      <c r="F15" s="601">
        <v>0</v>
      </c>
      <c r="G15" s="602">
        <v>0</v>
      </c>
      <c r="H15" s="579">
        <f t="shared" si="10"/>
        <v>0</v>
      </c>
      <c r="I15" s="579">
        <f t="shared" si="11"/>
        <v>0</v>
      </c>
      <c r="J15" s="579">
        <f t="shared" ref="J15:P15" si="14">I15*(1+J139)</f>
        <v>0</v>
      </c>
      <c r="K15" s="579">
        <f t="shared" si="14"/>
        <v>0</v>
      </c>
      <c r="L15" s="579">
        <f t="shared" si="14"/>
        <v>0</v>
      </c>
      <c r="M15" s="579">
        <f t="shared" si="14"/>
        <v>0</v>
      </c>
      <c r="N15" s="579">
        <f t="shared" si="14"/>
        <v>0</v>
      </c>
      <c r="O15" s="579">
        <f t="shared" si="14"/>
        <v>0</v>
      </c>
      <c r="P15" s="579">
        <f t="shared" si="14"/>
        <v>0</v>
      </c>
      <c r="R15" s="588">
        <v>0.5</v>
      </c>
      <c r="S15" s="589">
        <f t="shared" si="12"/>
        <v>0.5</v>
      </c>
      <c r="U15" s="432" t="s">
        <v>328</v>
      </c>
    </row>
    <row r="16" spans="1:21" ht="12.75" customHeight="1" x14ac:dyDescent="0.25">
      <c r="A16" s="432"/>
      <c r="B16" s="108"/>
      <c r="C16" s="108"/>
      <c r="D16" s="108"/>
      <c r="E16" s="601">
        <v>0</v>
      </c>
      <c r="F16" s="601">
        <v>0</v>
      </c>
      <c r="G16" s="602">
        <v>0</v>
      </c>
      <c r="H16" s="579">
        <f t="shared" si="10"/>
        <v>0</v>
      </c>
      <c r="I16" s="579">
        <f t="shared" si="11"/>
        <v>0</v>
      </c>
      <c r="J16" s="579">
        <f t="shared" ref="J16:P16" si="15">I16*(1+J140)</f>
        <v>0</v>
      </c>
      <c r="K16" s="579">
        <f t="shared" si="15"/>
        <v>0</v>
      </c>
      <c r="L16" s="579">
        <f t="shared" si="15"/>
        <v>0</v>
      </c>
      <c r="M16" s="579">
        <f t="shared" si="15"/>
        <v>0</v>
      </c>
      <c r="N16" s="579">
        <f t="shared" si="15"/>
        <v>0</v>
      </c>
      <c r="O16" s="579">
        <f t="shared" si="15"/>
        <v>0</v>
      </c>
      <c r="P16" s="579">
        <f t="shared" si="15"/>
        <v>0</v>
      </c>
      <c r="R16" s="588">
        <v>0.5</v>
      </c>
      <c r="S16" s="589">
        <f t="shared" si="12"/>
        <v>0.5</v>
      </c>
      <c r="U16" s="432" t="s">
        <v>328</v>
      </c>
    </row>
    <row r="17" spans="1:21" ht="12.75" customHeight="1" x14ac:dyDescent="0.25">
      <c r="A17" s="432"/>
      <c r="B17" s="108"/>
      <c r="C17" s="108"/>
      <c r="D17" s="108"/>
      <c r="E17" s="601">
        <v>0</v>
      </c>
      <c r="F17" s="601">
        <v>0</v>
      </c>
      <c r="G17" s="602">
        <v>0</v>
      </c>
      <c r="H17" s="579">
        <f t="shared" si="10"/>
        <v>0</v>
      </c>
      <c r="I17" s="579">
        <f t="shared" si="11"/>
        <v>0</v>
      </c>
      <c r="J17" s="579">
        <f t="shared" ref="J17:P17" si="16">I17*(1+J141)</f>
        <v>0</v>
      </c>
      <c r="K17" s="579">
        <f t="shared" si="16"/>
        <v>0</v>
      </c>
      <c r="L17" s="579">
        <f t="shared" si="16"/>
        <v>0</v>
      </c>
      <c r="M17" s="579">
        <f t="shared" si="16"/>
        <v>0</v>
      </c>
      <c r="N17" s="579">
        <f t="shared" si="16"/>
        <v>0</v>
      </c>
      <c r="O17" s="579">
        <f t="shared" si="16"/>
        <v>0</v>
      </c>
      <c r="P17" s="579">
        <f t="shared" si="16"/>
        <v>0</v>
      </c>
      <c r="R17" s="588">
        <v>0.5</v>
      </c>
      <c r="S17" s="589">
        <f t="shared" si="12"/>
        <v>0.5</v>
      </c>
      <c r="U17" s="432" t="s">
        <v>328</v>
      </c>
    </row>
    <row r="18" spans="1:21" ht="12.75" customHeight="1" x14ac:dyDescent="0.25">
      <c r="A18" s="432"/>
      <c r="B18" s="108"/>
      <c r="C18" s="108"/>
      <c r="D18" s="108"/>
      <c r="E18" s="601">
        <v>0</v>
      </c>
      <c r="F18" s="601">
        <v>0</v>
      </c>
      <c r="G18" s="602">
        <v>0</v>
      </c>
      <c r="H18" s="579">
        <f t="shared" si="10"/>
        <v>0</v>
      </c>
      <c r="I18" s="579">
        <f t="shared" si="11"/>
        <v>0</v>
      </c>
      <c r="J18" s="579">
        <f t="shared" ref="J18:P18" si="17">I18*(1+J142)</f>
        <v>0</v>
      </c>
      <c r="K18" s="579">
        <f t="shared" si="17"/>
        <v>0</v>
      </c>
      <c r="L18" s="579">
        <f t="shared" si="17"/>
        <v>0</v>
      </c>
      <c r="M18" s="579">
        <f t="shared" si="17"/>
        <v>0</v>
      </c>
      <c r="N18" s="579">
        <f t="shared" si="17"/>
        <v>0</v>
      </c>
      <c r="O18" s="579">
        <f t="shared" si="17"/>
        <v>0</v>
      </c>
      <c r="P18" s="579">
        <f t="shared" si="17"/>
        <v>0</v>
      </c>
      <c r="R18" s="588">
        <v>0.5</v>
      </c>
      <c r="S18" s="589">
        <f t="shared" ref="S18:S20" si="18">1-R18</f>
        <v>0.5</v>
      </c>
      <c r="U18" s="432" t="s">
        <v>328</v>
      </c>
    </row>
    <row r="19" spans="1:21" ht="12.75" customHeight="1" x14ac:dyDescent="0.25">
      <c r="A19" s="432"/>
      <c r="B19" s="108"/>
      <c r="C19" s="108"/>
      <c r="D19" s="108"/>
      <c r="E19" s="601">
        <v>0</v>
      </c>
      <c r="F19" s="601">
        <v>0</v>
      </c>
      <c r="G19" s="602">
        <v>0</v>
      </c>
      <c r="H19" s="579">
        <f t="shared" si="10"/>
        <v>0</v>
      </c>
      <c r="I19" s="579">
        <f t="shared" si="11"/>
        <v>0</v>
      </c>
      <c r="J19" s="579">
        <f t="shared" ref="J19:P19" si="19">I19*(1+J143)</f>
        <v>0</v>
      </c>
      <c r="K19" s="579">
        <f t="shared" si="19"/>
        <v>0</v>
      </c>
      <c r="L19" s="579">
        <f t="shared" si="19"/>
        <v>0</v>
      </c>
      <c r="M19" s="579">
        <f t="shared" si="19"/>
        <v>0</v>
      </c>
      <c r="N19" s="579">
        <f t="shared" si="19"/>
        <v>0</v>
      </c>
      <c r="O19" s="579">
        <f t="shared" si="19"/>
        <v>0</v>
      </c>
      <c r="P19" s="579">
        <f t="shared" si="19"/>
        <v>0</v>
      </c>
      <c r="R19" s="588">
        <v>0.5</v>
      </c>
      <c r="S19" s="589">
        <f t="shared" si="18"/>
        <v>0.5</v>
      </c>
      <c r="U19" s="432" t="s">
        <v>328</v>
      </c>
    </row>
    <row r="20" spans="1:21" ht="12.75" customHeight="1" x14ac:dyDescent="0.25">
      <c r="A20" s="432"/>
      <c r="B20" s="108"/>
      <c r="C20" s="108"/>
      <c r="D20" s="108"/>
      <c r="E20" s="601">
        <v>0</v>
      </c>
      <c r="F20" s="601">
        <v>0</v>
      </c>
      <c r="G20" s="602">
        <v>0</v>
      </c>
      <c r="H20" s="579">
        <f t="shared" si="10"/>
        <v>0</v>
      </c>
      <c r="I20" s="579">
        <f t="shared" si="11"/>
        <v>0</v>
      </c>
      <c r="J20" s="579">
        <f t="shared" ref="J20:P20" si="20">I20*(1+J144)</f>
        <v>0</v>
      </c>
      <c r="K20" s="579">
        <f t="shared" si="20"/>
        <v>0</v>
      </c>
      <c r="L20" s="579">
        <f t="shared" si="20"/>
        <v>0</v>
      </c>
      <c r="M20" s="579">
        <f t="shared" si="20"/>
        <v>0</v>
      </c>
      <c r="N20" s="579">
        <f t="shared" si="20"/>
        <v>0</v>
      </c>
      <c r="O20" s="579">
        <f t="shared" si="20"/>
        <v>0</v>
      </c>
      <c r="P20" s="579">
        <f t="shared" si="20"/>
        <v>0</v>
      </c>
      <c r="R20" s="588">
        <v>0.5</v>
      </c>
      <c r="S20" s="589">
        <f t="shared" si="18"/>
        <v>0.5</v>
      </c>
      <c r="U20" s="432" t="s">
        <v>328</v>
      </c>
    </row>
    <row r="21" spans="1:21" ht="12.75" customHeight="1" x14ac:dyDescent="0.25">
      <c r="A21" s="432"/>
      <c r="B21" s="108"/>
      <c r="C21" s="108"/>
      <c r="D21" s="108"/>
      <c r="E21" s="601">
        <v>0</v>
      </c>
      <c r="F21" s="601">
        <v>0</v>
      </c>
      <c r="G21" s="602">
        <v>0</v>
      </c>
      <c r="H21" s="579">
        <f t="shared" si="10"/>
        <v>0</v>
      </c>
      <c r="I21" s="579">
        <f t="shared" si="11"/>
        <v>0</v>
      </c>
      <c r="J21" s="579">
        <f t="shared" ref="J21:P21" si="21">I21*(1+J145)</f>
        <v>0</v>
      </c>
      <c r="K21" s="579">
        <f t="shared" si="21"/>
        <v>0</v>
      </c>
      <c r="L21" s="579">
        <f t="shared" si="21"/>
        <v>0</v>
      </c>
      <c r="M21" s="579">
        <f t="shared" si="21"/>
        <v>0</v>
      </c>
      <c r="N21" s="579">
        <f t="shared" si="21"/>
        <v>0</v>
      </c>
      <c r="O21" s="579">
        <f t="shared" si="21"/>
        <v>0</v>
      </c>
      <c r="P21" s="579">
        <f t="shared" si="21"/>
        <v>0</v>
      </c>
      <c r="R21" s="588">
        <v>0.5</v>
      </c>
      <c r="S21" s="589">
        <f t="shared" si="6"/>
        <v>0.5</v>
      </c>
      <c r="U21" s="432" t="s">
        <v>328</v>
      </c>
    </row>
    <row r="22" spans="1:21" ht="12.75" customHeight="1" x14ac:dyDescent="0.25">
      <c r="A22" s="560"/>
      <c r="B22" s="136"/>
      <c r="C22" s="136"/>
      <c r="D22" s="136"/>
      <c r="E22" s="603">
        <v>0</v>
      </c>
      <c r="F22" s="603">
        <v>0</v>
      </c>
      <c r="G22" s="604">
        <v>0</v>
      </c>
      <c r="H22" s="563">
        <v>0</v>
      </c>
      <c r="I22" s="563">
        <v>0</v>
      </c>
      <c r="J22" s="563">
        <v>0</v>
      </c>
      <c r="K22" s="563">
        <v>0</v>
      </c>
      <c r="L22" s="563">
        <v>0</v>
      </c>
      <c r="M22" s="563">
        <v>0</v>
      </c>
      <c r="N22" s="563">
        <v>0</v>
      </c>
      <c r="O22" s="563">
        <v>0</v>
      </c>
      <c r="P22" s="563">
        <v>0</v>
      </c>
      <c r="R22" s="588">
        <v>0.5</v>
      </c>
      <c r="S22" s="589">
        <f t="shared" si="6"/>
        <v>0.5</v>
      </c>
      <c r="U22" s="432" t="s">
        <v>328</v>
      </c>
    </row>
    <row r="23" spans="1:21" ht="12.75" customHeight="1" x14ac:dyDescent="0.25">
      <c r="A23" s="108"/>
      <c r="B23" s="108"/>
      <c r="C23" s="577"/>
      <c r="D23" s="578" t="s">
        <v>322</v>
      </c>
      <c r="E23" s="581">
        <f>SUM(E8:E22)</f>
        <v>688184</v>
      </c>
      <c r="F23" s="581">
        <f t="shared" ref="F23:I23" si="22">SUM(F8:F22)</f>
        <v>607206</v>
      </c>
      <c r="G23" s="582">
        <f t="shared" si="22"/>
        <v>789400</v>
      </c>
      <c r="H23" s="581">
        <f t="shared" si="22"/>
        <v>813082</v>
      </c>
      <c r="I23" s="581">
        <f t="shared" si="22"/>
        <v>837474.46</v>
      </c>
      <c r="J23" s="581">
        <f t="shared" ref="J23:P23" si="23">SUM(J8:J22)</f>
        <v>862598.69380000001</v>
      </c>
      <c r="K23" s="581">
        <f t="shared" si="23"/>
        <v>888476.654614</v>
      </c>
      <c r="L23" s="581">
        <f t="shared" si="23"/>
        <v>915130.95425242011</v>
      </c>
      <c r="M23" s="581">
        <f t="shared" si="23"/>
        <v>942584.88287999271</v>
      </c>
      <c r="N23" s="581">
        <f t="shared" si="23"/>
        <v>970862.42936639255</v>
      </c>
      <c r="O23" s="581">
        <f t="shared" si="23"/>
        <v>999988.30224738445</v>
      </c>
      <c r="P23" s="581">
        <f t="shared" si="23"/>
        <v>1029987.9513148059</v>
      </c>
      <c r="R23" s="589"/>
      <c r="S23" s="589"/>
    </row>
    <row r="24" spans="1:21" ht="12.75" customHeight="1" x14ac:dyDescent="0.25">
      <c r="A24" s="576"/>
      <c r="B24" s="576"/>
      <c r="C24" s="576"/>
      <c r="D24" s="576"/>
      <c r="E24" s="583"/>
      <c r="F24" s="583"/>
      <c r="G24" s="584"/>
      <c r="H24" s="583"/>
      <c r="I24" s="583"/>
      <c r="J24" s="583"/>
      <c r="K24" s="583"/>
      <c r="L24" s="583"/>
      <c r="M24" s="583"/>
      <c r="N24" s="583"/>
      <c r="O24" s="583"/>
      <c r="P24" s="583"/>
      <c r="R24" s="589"/>
      <c r="S24" s="589"/>
    </row>
    <row r="25" spans="1:21" ht="12.75" customHeight="1" x14ac:dyDescent="0.25">
      <c r="A25" s="139" t="s">
        <v>323</v>
      </c>
      <c r="B25" s="108"/>
      <c r="C25" s="108"/>
      <c r="D25" s="108"/>
      <c r="E25" s="579"/>
      <c r="F25" s="579"/>
      <c r="G25" s="580"/>
      <c r="H25" s="579"/>
      <c r="I25" s="579"/>
      <c r="J25" s="579"/>
      <c r="K25" s="579"/>
      <c r="L25" s="579"/>
      <c r="M25" s="579"/>
      <c r="N25" s="579"/>
      <c r="O25" s="579"/>
      <c r="P25" s="579"/>
      <c r="R25" s="589"/>
      <c r="S25" s="589"/>
    </row>
    <row r="26" spans="1:21" ht="12.75" customHeight="1" x14ac:dyDescent="0.25">
      <c r="A26" s="432" t="s">
        <v>384</v>
      </c>
      <c r="B26" s="108"/>
      <c r="C26" s="108"/>
      <c r="D26" s="108"/>
      <c r="E26" s="601">
        <v>2206340</v>
      </c>
      <c r="F26" s="601">
        <v>2270134</v>
      </c>
      <c r="G26" s="602">
        <v>2250100</v>
      </c>
      <c r="H26" s="579">
        <f>G26*(1+H144)</f>
        <v>2317603</v>
      </c>
      <c r="I26" s="579">
        <f t="shared" ref="I26" si="24">H26*(1+I144)</f>
        <v>2387131.09</v>
      </c>
      <c r="J26" s="579">
        <f t="shared" ref="J26:P28" si="25">I26*(1+J144)</f>
        <v>2458745.0227000001</v>
      </c>
      <c r="K26" s="579">
        <f t="shared" si="25"/>
        <v>2532507.373381</v>
      </c>
      <c r="L26" s="579">
        <f t="shared" si="25"/>
        <v>2608482.5945824301</v>
      </c>
      <c r="M26" s="579">
        <f t="shared" si="25"/>
        <v>2686737.0724199032</v>
      </c>
      <c r="N26" s="579">
        <f t="shared" si="25"/>
        <v>2767339.1845925003</v>
      </c>
      <c r="O26" s="579">
        <f t="shared" si="25"/>
        <v>2850359.3601302756</v>
      </c>
      <c r="P26" s="579">
        <f t="shared" si="25"/>
        <v>2935870.1409341837</v>
      </c>
      <c r="R26" s="588">
        <v>1</v>
      </c>
      <c r="S26" s="589">
        <f t="shared" si="6"/>
        <v>0</v>
      </c>
      <c r="U26" s="432" t="s">
        <v>328</v>
      </c>
    </row>
    <row r="27" spans="1:21" ht="12.75" customHeight="1" x14ac:dyDescent="0.25">
      <c r="A27" s="432" t="s">
        <v>299</v>
      </c>
      <c r="B27" s="108"/>
      <c r="C27" s="108"/>
      <c r="D27" s="108"/>
      <c r="E27" s="601">
        <v>0</v>
      </c>
      <c r="F27" s="601">
        <v>0</v>
      </c>
      <c r="G27" s="602">
        <f t="shared" ref="G27:G37" si="26">F27*1.03</f>
        <v>0</v>
      </c>
      <c r="H27" s="579">
        <f t="shared" ref="H27:I27" si="27">G27*(1+H145)</f>
        <v>0</v>
      </c>
      <c r="I27" s="579">
        <f t="shared" si="27"/>
        <v>0</v>
      </c>
      <c r="J27" s="579">
        <f t="shared" si="25"/>
        <v>0</v>
      </c>
      <c r="K27" s="579">
        <f t="shared" si="25"/>
        <v>0</v>
      </c>
      <c r="L27" s="579">
        <f t="shared" si="25"/>
        <v>0</v>
      </c>
      <c r="M27" s="579">
        <f t="shared" si="25"/>
        <v>0</v>
      </c>
      <c r="N27" s="579">
        <f t="shared" si="25"/>
        <v>0</v>
      </c>
      <c r="O27" s="579">
        <f t="shared" si="25"/>
        <v>0</v>
      </c>
      <c r="P27" s="579">
        <f t="shared" si="25"/>
        <v>0</v>
      </c>
      <c r="R27" s="588">
        <v>1</v>
      </c>
      <c r="S27" s="589">
        <f t="shared" si="6"/>
        <v>0</v>
      </c>
      <c r="U27" s="432" t="s">
        <v>328</v>
      </c>
    </row>
    <row r="28" spans="1:21" ht="12.75" customHeight="1" x14ac:dyDescent="0.25">
      <c r="A28" s="432" t="s">
        <v>299</v>
      </c>
      <c r="B28" s="108"/>
      <c r="C28" s="108"/>
      <c r="D28" s="108"/>
      <c r="E28" s="601">
        <v>0</v>
      </c>
      <c r="F28" s="601">
        <v>0</v>
      </c>
      <c r="G28" s="602">
        <f t="shared" si="26"/>
        <v>0</v>
      </c>
      <c r="H28" s="579">
        <f t="shared" ref="H28:I28" si="28">G28*(1+H146)</f>
        <v>0</v>
      </c>
      <c r="I28" s="579">
        <f t="shared" si="28"/>
        <v>0</v>
      </c>
      <c r="J28" s="579">
        <f t="shared" si="25"/>
        <v>0</v>
      </c>
      <c r="K28" s="579">
        <f t="shared" si="25"/>
        <v>0</v>
      </c>
      <c r="L28" s="579">
        <f t="shared" si="25"/>
        <v>0</v>
      </c>
      <c r="M28" s="579">
        <f t="shared" si="25"/>
        <v>0</v>
      </c>
      <c r="N28" s="579">
        <f t="shared" si="25"/>
        <v>0</v>
      </c>
      <c r="O28" s="579">
        <f t="shared" si="25"/>
        <v>0</v>
      </c>
      <c r="P28" s="579">
        <f t="shared" si="25"/>
        <v>0</v>
      </c>
      <c r="R28" s="588">
        <v>1</v>
      </c>
      <c r="S28" s="589">
        <f t="shared" si="6"/>
        <v>0</v>
      </c>
      <c r="U28" s="432" t="s">
        <v>328</v>
      </c>
    </row>
    <row r="29" spans="1:21" ht="12.75" customHeight="1" x14ac:dyDescent="0.25">
      <c r="A29" s="432" t="s">
        <v>299</v>
      </c>
      <c r="B29" s="108"/>
      <c r="C29" s="108"/>
      <c r="D29" s="108"/>
      <c r="E29" s="601">
        <v>0</v>
      </c>
      <c r="F29" s="601">
        <v>0</v>
      </c>
      <c r="G29" s="602">
        <f t="shared" si="26"/>
        <v>0</v>
      </c>
      <c r="H29" s="579">
        <f t="shared" ref="H29:I29" si="29">G29*(1+H153)</f>
        <v>0</v>
      </c>
      <c r="I29" s="579">
        <f t="shared" si="29"/>
        <v>0</v>
      </c>
      <c r="J29" s="579">
        <f t="shared" ref="J29:P29" si="30">I29*(1+J153)</f>
        <v>0</v>
      </c>
      <c r="K29" s="579">
        <f t="shared" si="30"/>
        <v>0</v>
      </c>
      <c r="L29" s="579">
        <f t="shared" si="30"/>
        <v>0</v>
      </c>
      <c r="M29" s="579">
        <f t="shared" si="30"/>
        <v>0</v>
      </c>
      <c r="N29" s="579">
        <f t="shared" si="30"/>
        <v>0</v>
      </c>
      <c r="O29" s="579">
        <f t="shared" si="30"/>
        <v>0</v>
      </c>
      <c r="P29" s="579">
        <f t="shared" si="30"/>
        <v>0</v>
      </c>
      <c r="R29" s="588">
        <v>1</v>
      </c>
      <c r="S29" s="589">
        <f t="shared" si="6"/>
        <v>0</v>
      </c>
      <c r="U29" s="432" t="s">
        <v>328</v>
      </c>
    </row>
    <row r="30" spans="1:21" ht="12.75" customHeight="1" x14ac:dyDescent="0.25">
      <c r="A30" s="432" t="s">
        <v>299</v>
      </c>
      <c r="B30" s="108"/>
      <c r="C30" s="108"/>
      <c r="D30" s="108"/>
      <c r="E30" s="601">
        <v>0</v>
      </c>
      <c r="F30" s="601">
        <v>0</v>
      </c>
      <c r="G30" s="602">
        <f t="shared" si="26"/>
        <v>0</v>
      </c>
      <c r="H30" s="579">
        <f t="shared" ref="H30:H36" si="31">G30*(1+H154)</f>
        <v>0</v>
      </c>
      <c r="I30" s="579">
        <f t="shared" ref="I30:P36" si="32">H30*(1+I154)</f>
        <v>0</v>
      </c>
      <c r="J30" s="579">
        <f t="shared" si="32"/>
        <v>0</v>
      </c>
      <c r="K30" s="579">
        <f t="shared" si="32"/>
        <v>0</v>
      </c>
      <c r="L30" s="579">
        <f t="shared" si="32"/>
        <v>0</v>
      </c>
      <c r="M30" s="579">
        <f t="shared" si="32"/>
        <v>0</v>
      </c>
      <c r="N30" s="579">
        <f t="shared" si="32"/>
        <v>0</v>
      </c>
      <c r="O30" s="579">
        <f t="shared" si="32"/>
        <v>0</v>
      </c>
      <c r="P30" s="579">
        <f t="shared" si="32"/>
        <v>0</v>
      </c>
      <c r="R30" s="588">
        <v>1</v>
      </c>
      <c r="S30" s="589">
        <f t="shared" si="6"/>
        <v>0</v>
      </c>
      <c r="U30" s="432" t="s">
        <v>328</v>
      </c>
    </row>
    <row r="31" spans="1:21" ht="12.75" customHeight="1" x14ac:dyDescent="0.25">
      <c r="A31" s="432" t="s">
        <v>299</v>
      </c>
      <c r="B31" s="108"/>
      <c r="C31" s="108"/>
      <c r="D31" s="108"/>
      <c r="E31" s="601">
        <v>0</v>
      </c>
      <c r="F31" s="601">
        <v>0</v>
      </c>
      <c r="G31" s="602">
        <f t="shared" si="26"/>
        <v>0</v>
      </c>
      <c r="H31" s="579">
        <f t="shared" si="31"/>
        <v>0</v>
      </c>
      <c r="I31" s="579">
        <f t="shared" si="32"/>
        <v>0</v>
      </c>
      <c r="J31" s="579">
        <f t="shared" ref="J31:P31" si="33">I31*(1+J155)</f>
        <v>0</v>
      </c>
      <c r="K31" s="579">
        <f t="shared" si="33"/>
        <v>0</v>
      </c>
      <c r="L31" s="579">
        <f t="shared" si="33"/>
        <v>0</v>
      </c>
      <c r="M31" s="579">
        <f t="shared" si="33"/>
        <v>0</v>
      </c>
      <c r="N31" s="579">
        <f t="shared" si="33"/>
        <v>0</v>
      </c>
      <c r="O31" s="579">
        <f t="shared" si="33"/>
        <v>0</v>
      </c>
      <c r="P31" s="579">
        <f t="shared" si="33"/>
        <v>0</v>
      </c>
      <c r="R31" s="588">
        <v>1</v>
      </c>
      <c r="S31" s="589">
        <f t="shared" ref="S31:S38" si="34">1-R31</f>
        <v>0</v>
      </c>
      <c r="U31" s="432" t="s">
        <v>328</v>
      </c>
    </row>
    <row r="32" spans="1:21" ht="12.75" customHeight="1" x14ac:dyDescent="0.25">
      <c r="A32" s="432" t="s">
        <v>299</v>
      </c>
      <c r="B32" s="108"/>
      <c r="C32" s="108"/>
      <c r="D32" s="108"/>
      <c r="E32" s="601">
        <v>0</v>
      </c>
      <c r="F32" s="601">
        <v>0</v>
      </c>
      <c r="G32" s="602">
        <f t="shared" si="26"/>
        <v>0</v>
      </c>
      <c r="H32" s="579">
        <f t="shared" si="31"/>
        <v>0</v>
      </c>
      <c r="I32" s="579">
        <f t="shared" si="32"/>
        <v>0</v>
      </c>
      <c r="J32" s="579">
        <f t="shared" ref="J32:P32" si="35">I32*(1+J156)</f>
        <v>0</v>
      </c>
      <c r="K32" s="579">
        <f t="shared" si="35"/>
        <v>0</v>
      </c>
      <c r="L32" s="579">
        <f t="shared" si="35"/>
        <v>0</v>
      </c>
      <c r="M32" s="579">
        <f t="shared" si="35"/>
        <v>0</v>
      </c>
      <c r="N32" s="579">
        <f t="shared" si="35"/>
        <v>0</v>
      </c>
      <c r="O32" s="579">
        <f t="shared" si="35"/>
        <v>0</v>
      </c>
      <c r="P32" s="579">
        <f t="shared" si="35"/>
        <v>0</v>
      </c>
      <c r="R32" s="588">
        <v>1</v>
      </c>
      <c r="S32" s="589">
        <f t="shared" ref="S32:S36" si="36">1-R32</f>
        <v>0</v>
      </c>
      <c r="U32" s="432" t="s">
        <v>328</v>
      </c>
    </row>
    <row r="33" spans="1:21" ht="12.75" customHeight="1" x14ac:dyDescent="0.25">
      <c r="A33" s="432" t="s">
        <v>299</v>
      </c>
      <c r="B33" s="108"/>
      <c r="C33" s="108"/>
      <c r="D33" s="108"/>
      <c r="E33" s="601">
        <v>0</v>
      </c>
      <c r="F33" s="601">
        <v>0</v>
      </c>
      <c r="G33" s="602">
        <f t="shared" si="26"/>
        <v>0</v>
      </c>
      <c r="H33" s="579">
        <f t="shared" si="31"/>
        <v>0</v>
      </c>
      <c r="I33" s="579">
        <f t="shared" si="32"/>
        <v>0</v>
      </c>
      <c r="J33" s="579">
        <f t="shared" ref="J33:P33" si="37">I33*(1+J157)</f>
        <v>0</v>
      </c>
      <c r="K33" s="579">
        <f t="shared" si="37"/>
        <v>0</v>
      </c>
      <c r="L33" s="579">
        <f t="shared" si="37"/>
        <v>0</v>
      </c>
      <c r="M33" s="579">
        <f t="shared" si="37"/>
        <v>0</v>
      </c>
      <c r="N33" s="579">
        <f t="shared" si="37"/>
        <v>0</v>
      </c>
      <c r="O33" s="579">
        <f t="shared" si="37"/>
        <v>0</v>
      </c>
      <c r="P33" s="579">
        <f t="shared" si="37"/>
        <v>0</v>
      </c>
      <c r="R33" s="588">
        <v>1</v>
      </c>
      <c r="S33" s="589">
        <f t="shared" si="36"/>
        <v>0</v>
      </c>
      <c r="U33" s="432" t="s">
        <v>328</v>
      </c>
    </row>
    <row r="34" spans="1:21" ht="12.75" customHeight="1" x14ac:dyDescent="0.25">
      <c r="A34" s="432" t="s">
        <v>299</v>
      </c>
      <c r="B34" s="108"/>
      <c r="C34" s="108"/>
      <c r="D34" s="108"/>
      <c r="E34" s="601">
        <v>0</v>
      </c>
      <c r="F34" s="601">
        <v>0</v>
      </c>
      <c r="G34" s="602">
        <f t="shared" si="26"/>
        <v>0</v>
      </c>
      <c r="H34" s="579">
        <f t="shared" si="31"/>
        <v>0</v>
      </c>
      <c r="I34" s="579">
        <f t="shared" si="32"/>
        <v>0</v>
      </c>
      <c r="J34" s="579">
        <f t="shared" ref="J34:P34" si="38">I34*(1+J158)</f>
        <v>0</v>
      </c>
      <c r="K34" s="579">
        <f t="shared" si="38"/>
        <v>0</v>
      </c>
      <c r="L34" s="579">
        <f t="shared" si="38"/>
        <v>0</v>
      </c>
      <c r="M34" s="579">
        <f t="shared" si="38"/>
        <v>0</v>
      </c>
      <c r="N34" s="579">
        <f t="shared" si="38"/>
        <v>0</v>
      </c>
      <c r="O34" s="579">
        <f t="shared" si="38"/>
        <v>0</v>
      </c>
      <c r="P34" s="579">
        <f t="shared" si="38"/>
        <v>0</v>
      </c>
      <c r="R34" s="588">
        <v>1</v>
      </c>
      <c r="S34" s="589">
        <f t="shared" si="36"/>
        <v>0</v>
      </c>
      <c r="U34" s="432" t="s">
        <v>328</v>
      </c>
    </row>
    <row r="35" spans="1:21" ht="12.75" customHeight="1" x14ac:dyDescent="0.25">
      <c r="A35" s="432" t="s">
        <v>299</v>
      </c>
      <c r="B35" s="108"/>
      <c r="C35" s="108"/>
      <c r="D35" s="108"/>
      <c r="E35" s="601">
        <v>0</v>
      </c>
      <c r="F35" s="601">
        <v>0</v>
      </c>
      <c r="G35" s="602">
        <f t="shared" si="26"/>
        <v>0</v>
      </c>
      <c r="H35" s="579">
        <f t="shared" si="31"/>
        <v>0</v>
      </c>
      <c r="I35" s="579">
        <f t="shared" si="32"/>
        <v>0</v>
      </c>
      <c r="J35" s="579">
        <f t="shared" ref="J35:P35" si="39">I35*(1+J159)</f>
        <v>0</v>
      </c>
      <c r="K35" s="579">
        <f t="shared" si="39"/>
        <v>0</v>
      </c>
      <c r="L35" s="579">
        <f t="shared" si="39"/>
        <v>0</v>
      </c>
      <c r="M35" s="579">
        <f t="shared" si="39"/>
        <v>0</v>
      </c>
      <c r="N35" s="579">
        <f t="shared" si="39"/>
        <v>0</v>
      </c>
      <c r="O35" s="579">
        <f t="shared" si="39"/>
        <v>0</v>
      </c>
      <c r="P35" s="579">
        <f t="shared" si="39"/>
        <v>0</v>
      </c>
      <c r="R35" s="588">
        <v>1</v>
      </c>
      <c r="S35" s="589">
        <f t="shared" si="36"/>
        <v>0</v>
      </c>
      <c r="U35" s="432" t="s">
        <v>328</v>
      </c>
    </row>
    <row r="36" spans="1:21" ht="12.75" customHeight="1" x14ac:dyDescent="0.25">
      <c r="A36" s="432" t="s">
        <v>299</v>
      </c>
      <c r="B36" s="108"/>
      <c r="C36" s="108"/>
      <c r="D36" s="108"/>
      <c r="E36" s="601">
        <v>0</v>
      </c>
      <c r="F36" s="601">
        <v>0</v>
      </c>
      <c r="G36" s="602">
        <f t="shared" si="26"/>
        <v>0</v>
      </c>
      <c r="H36" s="579">
        <f t="shared" si="31"/>
        <v>0</v>
      </c>
      <c r="I36" s="579">
        <f t="shared" si="32"/>
        <v>0</v>
      </c>
      <c r="J36" s="579">
        <f t="shared" ref="J36:P36" si="40">I36*(1+J160)</f>
        <v>0</v>
      </c>
      <c r="K36" s="579">
        <f t="shared" si="40"/>
        <v>0</v>
      </c>
      <c r="L36" s="579">
        <f t="shared" si="40"/>
        <v>0</v>
      </c>
      <c r="M36" s="579">
        <f t="shared" si="40"/>
        <v>0</v>
      </c>
      <c r="N36" s="579">
        <f t="shared" si="40"/>
        <v>0</v>
      </c>
      <c r="O36" s="579">
        <f t="shared" si="40"/>
        <v>0</v>
      </c>
      <c r="P36" s="579">
        <f t="shared" si="40"/>
        <v>0</v>
      </c>
      <c r="R36" s="588">
        <v>1</v>
      </c>
      <c r="S36" s="589">
        <f t="shared" si="36"/>
        <v>0</v>
      </c>
      <c r="U36" s="432" t="s">
        <v>328</v>
      </c>
    </row>
    <row r="37" spans="1:21" ht="12.75" customHeight="1" x14ac:dyDescent="0.25">
      <c r="A37" s="432" t="s">
        <v>299</v>
      </c>
      <c r="B37" s="108"/>
      <c r="C37" s="108"/>
      <c r="D37" s="108"/>
      <c r="E37" s="601">
        <v>0</v>
      </c>
      <c r="F37" s="601">
        <v>0</v>
      </c>
      <c r="G37" s="602">
        <f t="shared" si="26"/>
        <v>0</v>
      </c>
      <c r="H37" s="579">
        <f t="shared" ref="H37:I38" si="41">G37*(1+H156)</f>
        <v>0</v>
      </c>
      <c r="I37" s="579">
        <f t="shared" si="41"/>
        <v>0</v>
      </c>
      <c r="J37" s="579">
        <f t="shared" ref="J37:P38" si="42">I37*(1+J156)</f>
        <v>0</v>
      </c>
      <c r="K37" s="579">
        <f t="shared" si="42"/>
        <v>0</v>
      </c>
      <c r="L37" s="579">
        <f t="shared" si="42"/>
        <v>0</v>
      </c>
      <c r="M37" s="579">
        <f t="shared" si="42"/>
        <v>0</v>
      </c>
      <c r="N37" s="579">
        <f t="shared" si="42"/>
        <v>0</v>
      </c>
      <c r="O37" s="579">
        <f t="shared" si="42"/>
        <v>0</v>
      </c>
      <c r="P37" s="579">
        <f t="shared" si="42"/>
        <v>0</v>
      </c>
      <c r="R37" s="588">
        <v>1</v>
      </c>
      <c r="S37" s="589">
        <f t="shared" si="34"/>
        <v>0</v>
      </c>
      <c r="U37" s="432" t="s">
        <v>328</v>
      </c>
    </row>
    <row r="38" spans="1:21" ht="12.75" customHeight="1" x14ac:dyDescent="0.25">
      <c r="A38" s="432" t="s">
        <v>347</v>
      </c>
      <c r="B38" s="108"/>
      <c r="C38" s="108"/>
      <c r="D38" s="108"/>
      <c r="E38" s="601">
        <v>0</v>
      </c>
      <c r="F38" s="601">
        <v>0</v>
      </c>
      <c r="G38" s="602">
        <f>('T-Rev'!G7+'T-Rev'!G12)*0.02</f>
        <v>55436.520345819998</v>
      </c>
      <c r="H38" s="579">
        <f t="shared" si="41"/>
        <v>55436.520345819998</v>
      </c>
      <c r="I38" s="579">
        <f t="shared" ref="I38" si="43">H38*(1+I157)</f>
        <v>55436.520345819998</v>
      </c>
      <c r="J38" s="579">
        <f t="shared" si="42"/>
        <v>55436.520345819998</v>
      </c>
      <c r="K38" s="579">
        <f t="shared" si="42"/>
        <v>55436.520345819998</v>
      </c>
      <c r="L38" s="579">
        <f t="shared" si="42"/>
        <v>55436.520345819998</v>
      </c>
      <c r="M38" s="579">
        <f t="shared" si="42"/>
        <v>55436.520345819998</v>
      </c>
      <c r="N38" s="579">
        <f t="shared" si="42"/>
        <v>55436.520345819998</v>
      </c>
      <c r="O38" s="579">
        <f t="shared" si="42"/>
        <v>55436.520345819998</v>
      </c>
      <c r="P38" s="579">
        <f t="shared" si="42"/>
        <v>55436.520345819998</v>
      </c>
      <c r="R38" s="588">
        <v>1</v>
      </c>
      <c r="S38" s="589">
        <f t="shared" si="34"/>
        <v>0</v>
      </c>
      <c r="U38" s="432" t="s">
        <v>328</v>
      </c>
    </row>
    <row r="39" spans="1:21" ht="12.75" customHeight="1" x14ac:dyDescent="0.25">
      <c r="A39" s="432" t="s">
        <v>305</v>
      </c>
      <c r="B39" s="108"/>
      <c r="C39" s="108"/>
      <c r="D39" s="108"/>
      <c r="E39" s="601">
        <f>Debt!E204</f>
        <v>57679.98</v>
      </c>
      <c r="F39" s="601">
        <f>Debt!F204</f>
        <v>61620</v>
      </c>
      <c r="G39" s="602">
        <f>Debt!G204</f>
        <v>61621.25</v>
      </c>
      <c r="H39" s="579">
        <f>Debt!H204</f>
        <v>61617.75</v>
      </c>
      <c r="I39" s="579">
        <f>Debt!I204</f>
        <v>61609.5</v>
      </c>
      <c r="J39" s="579">
        <f>Debt!J204</f>
        <v>61596.5</v>
      </c>
      <c r="K39" s="579">
        <f>Debt!K204</f>
        <v>61578.75</v>
      </c>
      <c r="L39" s="579">
        <f>Debt!L204</f>
        <v>61556.25</v>
      </c>
      <c r="M39" s="579">
        <f>Debt!M204</f>
        <v>61529</v>
      </c>
      <c r="N39" s="579">
        <f>Debt!N204</f>
        <v>61497</v>
      </c>
      <c r="O39" s="579">
        <f>Debt!O204</f>
        <v>61460.25</v>
      </c>
      <c r="P39" s="579">
        <f>Debt!P204</f>
        <v>61418.75</v>
      </c>
      <c r="R39" s="588">
        <v>1</v>
      </c>
      <c r="S39" s="589">
        <f t="shared" ref="S39" si="44">1-R39</f>
        <v>0</v>
      </c>
      <c r="U39" s="432" t="s">
        <v>329</v>
      </c>
    </row>
    <row r="40" spans="1:21" ht="12.75" customHeight="1" x14ac:dyDescent="0.25">
      <c r="A40" s="560" t="s">
        <v>325</v>
      </c>
      <c r="B40" s="136"/>
      <c r="C40" s="136"/>
      <c r="D40" s="136"/>
      <c r="E40" s="603">
        <v>0</v>
      </c>
      <c r="F40" s="603">
        <v>0</v>
      </c>
      <c r="G40" s="604">
        <f>'W-CIP'!G167</f>
        <v>0</v>
      </c>
      <c r="H40" s="563">
        <f>'W-CIP'!H167</f>
        <v>25000</v>
      </c>
      <c r="I40" s="563">
        <f>'W-CIP'!I167</f>
        <v>25000</v>
      </c>
      <c r="J40" s="563">
        <f>'W-CIP'!J167</f>
        <v>25000</v>
      </c>
      <c r="K40" s="563">
        <f>'W-CIP'!K167</f>
        <v>25000</v>
      </c>
      <c r="L40" s="563">
        <f>'W-CIP'!L167</f>
        <v>25000</v>
      </c>
      <c r="M40" s="563">
        <f>'W-CIP'!M167</f>
        <v>25000</v>
      </c>
      <c r="N40" s="563">
        <f>'W-CIP'!N167</f>
        <v>25000</v>
      </c>
      <c r="O40" s="563">
        <f>'W-CIP'!O167</f>
        <v>25000</v>
      </c>
      <c r="P40" s="563">
        <f>'W-CIP'!P167</f>
        <v>25000</v>
      </c>
      <c r="R40" s="588">
        <v>1</v>
      </c>
      <c r="S40" s="589">
        <f t="shared" si="6"/>
        <v>0</v>
      </c>
      <c r="U40" s="432" t="s">
        <v>330</v>
      </c>
    </row>
    <row r="41" spans="1:21" ht="12.75" customHeight="1" x14ac:dyDescent="0.25">
      <c r="A41" s="108"/>
      <c r="B41" s="108"/>
      <c r="C41" s="108"/>
      <c r="D41" s="578" t="s">
        <v>307</v>
      </c>
      <c r="E41" s="581">
        <f>SUM(E26:E40)</f>
        <v>2264019.98</v>
      </c>
      <c r="F41" s="581">
        <f t="shared" ref="F41:I41" si="45">SUM(F26:F40)</f>
        <v>2331754</v>
      </c>
      <c r="G41" s="582">
        <f t="shared" si="45"/>
        <v>2367157.7703458201</v>
      </c>
      <c r="H41" s="581">
        <f t="shared" si="45"/>
        <v>2459657.2703458201</v>
      </c>
      <c r="I41" s="581">
        <f t="shared" si="45"/>
        <v>2529177.11034582</v>
      </c>
      <c r="J41" s="581">
        <f t="shared" ref="J41:P41" si="46">SUM(J26:J40)</f>
        <v>2600778.0430458202</v>
      </c>
      <c r="K41" s="581">
        <f t="shared" si="46"/>
        <v>2674522.6437268201</v>
      </c>
      <c r="L41" s="581">
        <f t="shared" si="46"/>
        <v>2750475.3649282502</v>
      </c>
      <c r="M41" s="581">
        <f t="shared" si="46"/>
        <v>2828702.5927657234</v>
      </c>
      <c r="N41" s="581">
        <f t="shared" si="46"/>
        <v>2909272.7049383204</v>
      </c>
      <c r="O41" s="581">
        <f t="shared" si="46"/>
        <v>2992256.1304760957</v>
      </c>
      <c r="P41" s="581">
        <f t="shared" si="46"/>
        <v>3077725.4112800038</v>
      </c>
      <c r="R41" s="589"/>
      <c r="S41" s="589"/>
    </row>
    <row r="42" spans="1:21" ht="12.75" customHeight="1" x14ac:dyDescent="0.25">
      <c r="A42" s="576"/>
      <c r="B42" s="576"/>
      <c r="C42" s="576"/>
      <c r="D42" s="576"/>
      <c r="E42" s="583"/>
      <c r="F42" s="583"/>
      <c r="G42" s="584"/>
      <c r="H42" s="583"/>
      <c r="I42" s="583"/>
      <c r="J42" s="583"/>
      <c r="K42" s="583"/>
      <c r="L42" s="583"/>
      <c r="M42" s="583"/>
      <c r="N42" s="583"/>
      <c r="O42" s="583"/>
      <c r="P42" s="583"/>
      <c r="R42" s="589"/>
      <c r="S42" s="589"/>
    </row>
    <row r="43" spans="1:21" ht="12.75" customHeight="1" x14ac:dyDescent="0.25">
      <c r="A43" s="139" t="s">
        <v>324</v>
      </c>
      <c r="B43" s="108"/>
      <c r="C43" s="108"/>
      <c r="D43" s="108"/>
      <c r="E43" s="579"/>
      <c r="F43" s="579"/>
      <c r="G43" s="580"/>
      <c r="H43" s="579"/>
      <c r="I43" s="579"/>
      <c r="J43" s="579"/>
      <c r="K43" s="579"/>
      <c r="L43" s="579"/>
      <c r="M43" s="579"/>
      <c r="N43" s="579"/>
      <c r="O43" s="579"/>
      <c r="P43" s="579"/>
      <c r="R43" s="589"/>
      <c r="S43" s="589"/>
    </row>
    <row r="44" spans="1:21" ht="12.75" customHeight="1" x14ac:dyDescent="0.25">
      <c r="A44" s="432" t="s">
        <v>385</v>
      </c>
      <c r="B44" s="108"/>
      <c r="C44" s="108"/>
      <c r="D44" s="108"/>
      <c r="E44" s="601">
        <v>942421</v>
      </c>
      <c r="F44" s="601">
        <v>863318</v>
      </c>
      <c r="G44" s="602">
        <v>1012700</v>
      </c>
      <c r="H44" s="579">
        <f>G44*(1+H162)</f>
        <v>1043081</v>
      </c>
      <c r="I44" s="579">
        <f t="shared" ref="I44" si="47">H44*(1+I162)</f>
        <v>1074373.43</v>
      </c>
      <c r="J44" s="579">
        <f t="shared" ref="J44:P46" si="48">I44*(1+J162)</f>
        <v>1106604.6328999999</v>
      </c>
      <c r="K44" s="579">
        <f t="shared" si="48"/>
        <v>1139802.771887</v>
      </c>
      <c r="L44" s="579">
        <f t="shared" si="48"/>
        <v>1173996.8550436101</v>
      </c>
      <c r="M44" s="579">
        <f t="shared" si="48"/>
        <v>1209216.7606949185</v>
      </c>
      <c r="N44" s="579">
        <f t="shared" si="48"/>
        <v>1245493.263515766</v>
      </c>
      <c r="O44" s="579">
        <f t="shared" si="48"/>
        <v>1282858.0614212391</v>
      </c>
      <c r="P44" s="579">
        <f t="shared" si="48"/>
        <v>1321343.8032638764</v>
      </c>
      <c r="R44" s="588">
        <v>0</v>
      </c>
      <c r="S44" s="589">
        <f t="shared" si="6"/>
        <v>1</v>
      </c>
      <c r="U44" s="432" t="s">
        <v>328</v>
      </c>
    </row>
    <row r="45" spans="1:21" ht="12.75" customHeight="1" x14ac:dyDescent="0.25">
      <c r="A45" s="432" t="s">
        <v>386</v>
      </c>
      <c r="B45" s="108"/>
      <c r="C45" s="108"/>
      <c r="D45" s="108"/>
      <c r="E45" s="601">
        <v>1028420</v>
      </c>
      <c r="F45" s="601">
        <v>1176289</v>
      </c>
      <c r="G45" s="602">
        <v>1186900</v>
      </c>
      <c r="H45" s="579">
        <f t="shared" ref="H45:I45" si="49">G45*(1+H163)</f>
        <v>1222507</v>
      </c>
      <c r="I45" s="579">
        <f t="shared" si="49"/>
        <v>1259182.21</v>
      </c>
      <c r="J45" s="579">
        <f t="shared" si="48"/>
        <v>1296957.6762999999</v>
      </c>
      <c r="K45" s="579">
        <f t="shared" si="48"/>
        <v>1335866.406589</v>
      </c>
      <c r="L45" s="579">
        <f t="shared" si="48"/>
        <v>1375942.3987866701</v>
      </c>
      <c r="M45" s="579">
        <f t="shared" si="48"/>
        <v>1417220.6707502701</v>
      </c>
      <c r="N45" s="579">
        <f t="shared" si="48"/>
        <v>1459737.2908727783</v>
      </c>
      <c r="O45" s="579">
        <f t="shared" si="48"/>
        <v>1503529.4095989617</v>
      </c>
      <c r="P45" s="579">
        <f t="shared" si="48"/>
        <v>1548635.2918869306</v>
      </c>
      <c r="R45" s="588">
        <v>0</v>
      </c>
      <c r="S45" s="589">
        <f t="shared" si="6"/>
        <v>1</v>
      </c>
      <c r="U45" s="432" t="s">
        <v>328</v>
      </c>
    </row>
    <row r="46" spans="1:21" ht="12.75" customHeight="1" x14ac:dyDescent="0.25">
      <c r="A46" s="432" t="s">
        <v>299</v>
      </c>
      <c r="B46" s="108"/>
      <c r="C46" s="108"/>
      <c r="D46" s="108"/>
      <c r="E46" s="601">
        <v>0</v>
      </c>
      <c r="F46" s="601">
        <v>0</v>
      </c>
      <c r="G46" s="602">
        <f t="shared" ref="G46:G55" si="50">F46*1.03</f>
        <v>0</v>
      </c>
      <c r="H46" s="579">
        <f t="shared" ref="H46:I46" si="51">G46*(1+H164)</f>
        <v>0</v>
      </c>
      <c r="I46" s="579">
        <f t="shared" si="51"/>
        <v>0</v>
      </c>
      <c r="J46" s="579">
        <f t="shared" si="48"/>
        <v>0</v>
      </c>
      <c r="K46" s="579">
        <f t="shared" si="48"/>
        <v>0</v>
      </c>
      <c r="L46" s="579">
        <f t="shared" si="48"/>
        <v>0</v>
      </c>
      <c r="M46" s="579">
        <f t="shared" si="48"/>
        <v>0</v>
      </c>
      <c r="N46" s="579">
        <f t="shared" si="48"/>
        <v>0</v>
      </c>
      <c r="O46" s="579">
        <f t="shared" si="48"/>
        <v>0</v>
      </c>
      <c r="P46" s="579">
        <f t="shared" si="48"/>
        <v>0</v>
      </c>
      <c r="R46" s="588">
        <v>0</v>
      </c>
      <c r="S46" s="589">
        <f t="shared" si="6"/>
        <v>1</v>
      </c>
      <c r="U46" s="432" t="s">
        <v>328</v>
      </c>
    </row>
    <row r="47" spans="1:21" ht="12.75" customHeight="1" x14ac:dyDescent="0.25">
      <c r="A47" s="432" t="s">
        <v>299</v>
      </c>
      <c r="B47" s="108"/>
      <c r="C47" s="108"/>
      <c r="D47" s="108"/>
      <c r="E47" s="601">
        <v>0</v>
      </c>
      <c r="F47" s="601">
        <v>0</v>
      </c>
      <c r="G47" s="602">
        <f t="shared" si="50"/>
        <v>0</v>
      </c>
      <c r="H47" s="579">
        <f t="shared" ref="H47:I47" si="52">G47*(1+H171)</f>
        <v>0</v>
      </c>
      <c r="I47" s="579">
        <f t="shared" si="52"/>
        <v>0</v>
      </c>
      <c r="J47" s="579">
        <f t="shared" ref="J47:P47" si="53">I47*(1+J171)</f>
        <v>0</v>
      </c>
      <c r="K47" s="579">
        <f t="shared" si="53"/>
        <v>0</v>
      </c>
      <c r="L47" s="579">
        <f t="shared" si="53"/>
        <v>0</v>
      </c>
      <c r="M47" s="579">
        <f t="shared" si="53"/>
        <v>0</v>
      </c>
      <c r="N47" s="579">
        <f t="shared" si="53"/>
        <v>0</v>
      </c>
      <c r="O47" s="579">
        <f t="shared" si="53"/>
        <v>0</v>
      </c>
      <c r="P47" s="579">
        <f t="shared" si="53"/>
        <v>0</v>
      </c>
      <c r="R47" s="588">
        <v>0</v>
      </c>
      <c r="S47" s="589">
        <f t="shared" si="6"/>
        <v>1</v>
      </c>
      <c r="U47" s="432" t="s">
        <v>328</v>
      </c>
    </row>
    <row r="48" spans="1:21" ht="12.75" customHeight="1" x14ac:dyDescent="0.25">
      <c r="A48" s="432" t="s">
        <v>299</v>
      </c>
      <c r="B48" s="108"/>
      <c r="C48" s="108"/>
      <c r="D48" s="108"/>
      <c r="E48" s="601">
        <v>0</v>
      </c>
      <c r="F48" s="601">
        <v>0</v>
      </c>
      <c r="G48" s="602">
        <f t="shared" si="50"/>
        <v>0</v>
      </c>
      <c r="H48" s="579">
        <f t="shared" ref="H48:H56" si="54">G48*(1+H172)</f>
        <v>0</v>
      </c>
      <c r="I48" s="579">
        <f t="shared" ref="I48:P55" si="55">H48*(1+I172)</f>
        <v>0</v>
      </c>
      <c r="J48" s="579">
        <f t="shared" si="55"/>
        <v>0</v>
      </c>
      <c r="K48" s="579">
        <f t="shared" si="55"/>
        <v>0</v>
      </c>
      <c r="L48" s="579">
        <f t="shared" si="55"/>
        <v>0</v>
      </c>
      <c r="M48" s="579">
        <f t="shared" si="55"/>
        <v>0</v>
      </c>
      <c r="N48" s="579">
        <f t="shared" si="55"/>
        <v>0</v>
      </c>
      <c r="O48" s="579">
        <f t="shared" si="55"/>
        <v>0</v>
      </c>
      <c r="P48" s="579">
        <f t="shared" si="55"/>
        <v>0</v>
      </c>
      <c r="R48" s="588">
        <v>0</v>
      </c>
      <c r="S48" s="589">
        <f t="shared" ref="S48:S52" si="56">1-R48</f>
        <v>1</v>
      </c>
      <c r="U48" s="432" t="s">
        <v>328</v>
      </c>
    </row>
    <row r="49" spans="1:21" ht="12.75" customHeight="1" x14ac:dyDescent="0.25">
      <c r="A49" s="432" t="s">
        <v>299</v>
      </c>
      <c r="B49" s="108"/>
      <c r="C49" s="108"/>
      <c r="D49" s="108"/>
      <c r="E49" s="601">
        <v>0</v>
      </c>
      <c r="F49" s="601">
        <v>0</v>
      </c>
      <c r="G49" s="602">
        <f t="shared" si="50"/>
        <v>0</v>
      </c>
      <c r="H49" s="579">
        <f t="shared" si="54"/>
        <v>0</v>
      </c>
      <c r="I49" s="579">
        <f t="shared" si="55"/>
        <v>0</v>
      </c>
      <c r="J49" s="579">
        <f t="shared" ref="J49:P49" si="57">I49*(1+J173)</f>
        <v>0</v>
      </c>
      <c r="K49" s="579">
        <f t="shared" si="57"/>
        <v>0</v>
      </c>
      <c r="L49" s="579">
        <f t="shared" si="57"/>
        <v>0</v>
      </c>
      <c r="M49" s="579">
        <f t="shared" si="57"/>
        <v>0</v>
      </c>
      <c r="N49" s="579">
        <f t="shared" si="57"/>
        <v>0</v>
      </c>
      <c r="O49" s="579">
        <f t="shared" si="57"/>
        <v>0</v>
      </c>
      <c r="P49" s="579">
        <f t="shared" si="57"/>
        <v>0</v>
      </c>
      <c r="R49" s="588">
        <v>0</v>
      </c>
      <c r="S49" s="589">
        <f t="shared" si="56"/>
        <v>1</v>
      </c>
      <c r="U49" s="432" t="s">
        <v>328</v>
      </c>
    </row>
    <row r="50" spans="1:21" ht="12.75" customHeight="1" x14ac:dyDescent="0.25">
      <c r="A50" s="432" t="s">
        <v>299</v>
      </c>
      <c r="B50" s="108"/>
      <c r="C50" s="108"/>
      <c r="D50" s="108"/>
      <c r="E50" s="601">
        <v>0</v>
      </c>
      <c r="F50" s="601">
        <v>0</v>
      </c>
      <c r="G50" s="602">
        <f t="shared" si="50"/>
        <v>0</v>
      </c>
      <c r="H50" s="579">
        <f t="shared" si="54"/>
        <v>0</v>
      </c>
      <c r="I50" s="579">
        <f t="shared" si="55"/>
        <v>0</v>
      </c>
      <c r="J50" s="579">
        <f t="shared" ref="J50:P50" si="58">I50*(1+J174)</f>
        <v>0</v>
      </c>
      <c r="K50" s="579">
        <f t="shared" si="58"/>
        <v>0</v>
      </c>
      <c r="L50" s="579">
        <f t="shared" si="58"/>
        <v>0</v>
      </c>
      <c r="M50" s="579">
        <f t="shared" si="58"/>
        <v>0</v>
      </c>
      <c r="N50" s="579">
        <f t="shared" si="58"/>
        <v>0</v>
      </c>
      <c r="O50" s="579">
        <f t="shared" si="58"/>
        <v>0</v>
      </c>
      <c r="P50" s="579">
        <f t="shared" si="58"/>
        <v>0</v>
      </c>
      <c r="R50" s="588">
        <v>0</v>
      </c>
      <c r="S50" s="589">
        <f t="shared" si="56"/>
        <v>1</v>
      </c>
      <c r="U50" s="432" t="s">
        <v>328</v>
      </c>
    </row>
    <row r="51" spans="1:21" ht="12.75" customHeight="1" x14ac:dyDescent="0.25">
      <c r="A51" s="432" t="s">
        <v>299</v>
      </c>
      <c r="B51" s="108"/>
      <c r="C51" s="108"/>
      <c r="D51" s="108"/>
      <c r="E51" s="601">
        <v>0</v>
      </c>
      <c r="F51" s="601">
        <v>0</v>
      </c>
      <c r="G51" s="602">
        <f t="shared" si="50"/>
        <v>0</v>
      </c>
      <c r="H51" s="579">
        <f t="shared" si="54"/>
        <v>0</v>
      </c>
      <c r="I51" s="579">
        <f t="shared" si="55"/>
        <v>0</v>
      </c>
      <c r="J51" s="579">
        <f t="shared" ref="J51:P51" si="59">I51*(1+J175)</f>
        <v>0</v>
      </c>
      <c r="K51" s="579">
        <f t="shared" si="59"/>
        <v>0</v>
      </c>
      <c r="L51" s="579">
        <f t="shared" si="59"/>
        <v>0</v>
      </c>
      <c r="M51" s="579">
        <f t="shared" si="59"/>
        <v>0</v>
      </c>
      <c r="N51" s="579">
        <f t="shared" si="59"/>
        <v>0</v>
      </c>
      <c r="O51" s="579">
        <f t="shared" si="59"/>
        <v>0</v>
      </c>
      <c r="P51" s="579">
        <f t="shared" si="59"/>
        <v>0</v>
      </c>
      <c r="R51" s="588">
        <v>0</v>
      </c>
      <c r="S51" s="589">
        <f t="shared" si="56"/>
        <v>1</v>
      </c>
      <c r="U51" s="432" t="s">
        <v>328</v>
      </c>
    </row>
    <row r="52" spans="1:21" ht="12.75" customHeight="1" x14ac:dyDescent="0.25">
      <c r="A52" s="432" t="s">
        <v>299</v>
      </c>
      <c r="B52" s="108"/>
      <c r="C52" s="108"/>
      <c r="D52" s="108"/>
      <c r="E52" s="601">
        <v>0</v>
      </c>
      <c r="F52" s="601"/>
      <c r="G52" s="602">
        <f t="shared" si="50"/>
        <v>0</v>
      </c>
      <c r="H52" s="579">
        <f t="shared" si="54"/>
        <v>0</v>
      </c>
      <c r="I52" s="579">
        <f t="shared" si="55"/>
        <v>0</v>
      </c>
      <c r="J52" s="579">
        <f t="shared" ref="J52:P52" si="60">I52*(1+J176)</f>
        <v>0</v>
      </c>
      <c r="K52" s="579">
        <f t="shared" si="60"/>
        <v>0</v>
      </c>
      <c r="L52" s="579">
        <f t="shared" si="60"/>
        <v>0</v>
      </c>
      <c r="M52" s="579">
        <f t="shared" si="60"/>
        <v>0</v>
      </c>
      <c r="N52" s="579">
        <f t="shared" si="60"/>
        <v>0</v>
      </c>
      <c r="O52" s="579">
        <f t="shared" si="60"/>
        <v>0</v>
      </c>
      <c r="P52" s="579">
        <f t="shared" si="60"/>
        <v>0</v>
      </c>
      <c r="R52" s="588">
        <v>0</v>
      </c>
      <c r="S52" s="589">
        <f t="shared" si="56"/>
        <v>1</v>
      </c>
      <c r="U52" s="432" t="s">
        <v>328</v>
      </c>
    </row>
    <row r="53" spans="1:21" ht="12.75" customHeight="1" x14ac:dyDescent="0.25">
      <c r="A53" s="432" t="s">
        <v>299</v>
      </c>
      <c r="B53" s="108"/>
      <c r="C53" s="108"/>
      <c r="D53" s="108"/>
      <c r="E53" s="601">
        <v>0</v>
      </c>
      <c r="F53" s="601">
        <v>0</v>
      </c>
      <c r="G53" s="602">
        <f t="shared" si="50"/>
        <v>0</v>
      </c>
      <c r="H53" s="579">
        <f t="shared" si="54"/>
        <v>0</v>
      </c>
      <c r="I53" s="579">
        <f t="shared" si="55"/>
        <v>0</v>
      </c>
      <c r="J53" s="579">
        <f t="shared" ref="J53:P53" si="61">I53*(1+J177)</f>
        <v>0</v>
      </c>
      <c r="K53" s="579">
        <f t="shared" si="61"/>
        <v>0</v>
      </c>
      <c r="L53" s="579">
        <f t="shared" si="61"/>
        <v>0</v>
      </c>
      <c r="M53" s="579">
        <f t="shared" si="61"/>
        <v>0</v>
      </c>
      <c r="N53" s="579">
        <f t="shared" si="61"/>
        <v>0</v>
      </c>
      <c r="O53" s="579">
        <f t="shared" si="61"/>
        <v>0</v>
      </c>
      <c r="P53" s="579">
        <f t="shared" si="61"/>
        <v>0</v>
      </c>
      <c r="R53" s="588">
        <v>0</v>
      </c>
      <c r="S53" s="589">
        <f t="shared" si="6"/>
        <v>1</v>
      </c>
      <c r="U53" s="432" t="s">
        <v>328</v>
      </c>
    </row>
    <row r="54" spans="1:21" ht="12.75" customHeight="1" x14ac:dyDescent="0.25">
      <c r="A54" s="432" t="s">
        <v>299</v>
      </c>
      <c r="B54" s="108"/>
      <c r="C54" s="108"/>
      <c r="D54" s="108"/>
      <c r="E54" s="601">
        <v>0</v>
      </c>
      <c r="F54" s="601">
        <v>0</v>
      </c>
      <c r="G54" s="602">
        <f t="shared" si="50"/>
        <v>0</v>
      </c>
      <c r="H54" s="579">
        <f t="shared" si="54"/>
        <v>0</v>
      </c>
      <c r="I54" s="579">
        <f t="shared" si="55"/>
        <v>0</v>
      </c>
      <c r="J54" s="579">
        <f t="shared" ref="J54:P54" si="62">I54*(1+J178)</f>
        <v>0</v>
      </c>
      <c r="K54" s="579">
        <f t="shared" si="62"/>
        <v>0</v>
      </c>
      <c r="L54" s="579">
        <f t="shared" si="62"/>
        <v>0</v>
      </c>
      <c r="M54" s="579">
        <f t="shared" si="62"/>
        <v>0</v>
      </c>
      <c r="N54" s="579">
        <f t="shared" si="62"/>
        <v>0</v>
      </c>
      <c r="O54" s="579">
        <f t="shared" si="62"/>
        <v>0</v>
      </c>
      <c r="P54" s="579">
        <f t="shared" si="62"/>
        <v>0</v>
      </c>
      <c r="R54" s="588">
        <v>0</v>
      </c>
      <c r="S54" s="589">
        <f t="shared" ref="S54:S56" si="63">1-R54</f>
        <v>1</v>
      </c>
      <c r="U54" s="432" t="s">
        <v>328</v>
      </c>
    </row>
    <row r="55" spans="1:21" ht="12.75" customHeight="1" x14ac:dyDescent="0.25">
      <c r="A55" s="432" t="s">
        <v>299</v>
      </c>
      <c r="B55" s="108"/>
      <c r="C55" s="108"/>
      <c r="D55" s="108"/>
      <c r="E55" s="601">
        <v>0</v>
      </c>
      <c r="F55" s="601">
        <v>0</v>
      </c>
      <c r="G55" s="602">
        <f t="shared" si="50"/>
        <v>0</v>
      </c>
      <c r="H55" s="579">
        <f t="shared" si="54"/>
        <v>0</v>
      </c>
      <c r="I55" s="579">
        <f t="shared" si="55"/>
        <v>0</v>
      </c>
      <c r="J55" s="579">
        <f t="shared" ref="J55:P55" si="64">I55*(1+J179)</f>
        <v>0</v>
      </c>
      <c r="K55" s="579">
        <f t="shared" si="64"/>
        <v>0</v>
      </c>
      <c r="L55" s="579">
        <f t="shared" si="64"/>
        <v>0</v>
      </c>
      <c r="M55" s="579">
        <f t="shared" si="64"/>
        <v>0</v>
      </c>
      <c r="N55" s="579">
        <f t="shared" si="64"/>
        <v>0</v>
      </c>
      <c r="O55" s="579">
        <f t="shared" si="64"/>
        <v>0</v>
      </c>
      <c r="P55" s="579">
        <f t="shared" si="64"/>
        <v>0</v>
      </c>
      <c r="R55" s="588">
        <v>0</v>
      </c>
      <c r="S55" s="589">
        <f t="shared" si="63"/>
        <v>1</v>
      </c>
      <c r="U55" s="432" t="s">
        <v>328</v>
      </c>
    </row>
    <row r="56" spans="1:21" ht="12.75" customHeight="1" x14ac:dyDescent="0.25">
      <c r="A56" s="432" t="s">
        <v>347</v>
      </c>
      <c r="B56" s="108"/>
      <c r="C56" s="108"/>
      <c r="D56" s="108"/>
      <c r="E56" s="601">
        <v>0</v>
      </c>
      <c r="F56" s="601">
        <v>0</v>
      </c>
      <c r="G56" s="602">
        <f>('T-Rev'!G8+'T-Rev'!G13)*0.02</f>
        <v>73562.621518</v>
      </c>
      <c r="H56" s="579">
        <f t="shared" si="54"/>
        <v>73562.621518</v>
      </c>
      <c r="I56" s="579">
        <f t="shared" ref="I56" si="65">H56*(1+I175)</f>
        <v>73562.621518</v>
      </c>
      <c r="J56" s="579">
        <f t="shared" ref="J56:P56" si="66">I56*(1+J175)</f>
        <v>73562.621518</v>
      </c>
      <c r="K56" s="579">
        <f t="shared" si="66"/>
        <v>73562.621518</v>
      </c>
      <c r="L56" s="579">
        <f t="shared" si="66"/>
        <v>73562.621518</v>
      </c>
      <c r="M56" s="579">
        <f t="shared" si="66"/>
        <v>73562.621518</v>
      </c>
      <c r="N56" s="579">
        <f t="shared" si="66"/>
        <v>73562.621518</v>
      </c>
      <c r="O56" s="579">
        <f t="shared" si="66"/>
        <v>73562.621518</v>
      </c>
      <c r="P56" s="579">
        <f t="shared" si="66"/>
        <v>73562.621518</v>
      </c>
      <c r="R56" s="588">
        <v>0</v>
      </c>
      <c r="S56" s="589">
        <f t="shared" si="63"/>
        <v>1</v>
      </c>
      <c r="U56" s="432" t="s">
        <v>328</v>
      </c>
    </row>
    <row r="57" spans="1:21" ht="12.75" customHeight="1" x14ac:dyDescent="0.25">
      <c r="A57" s="432" t="s">
        <v>305</v>
      </c>
      <c r="B57" s="108"/>
      <c r="C57" s="108"/>
      <c r="D57" s="108"/>
      <c r="E57" s="601">
        <f>Debt!E210</f>
        <v>57679.98</v>
      </c>
      <c r="F57" s="601">
        <f>Debt!F210</f>
        <v>61620</v>
      </c>
      <c r="G57" s="602">
        <f>Debt!G210</f>
        <v>61621.25</v>
      </c>
      <c r="H57" s="579">
        <f>Debt!H210</f>
        <v>61617.75</v>
      </c>
      <c r="I57" s="579">
        <f>Debt!I210</f>
        <v>111813.61741198001</v>
      </c>
      <c r="J57" s="579">
        <f>Debt!J210</f>
        <v>162004.73482396003</v>
      </c>
      <c r="K57" s="579">
        <f>Debt!K210</f>
        <v>161986.98482396003</v>
      </c>
      <c r="L57" s="579">
        <f>Debt!L210</f>
        <v>161964.48482396003</v>
      </c>
      <c r="M57" s="579">
        <f>Debt!M210</f>
        <v>161937.23482396003</v>
      </c>
      <c r="N57" s="579">
        <f>Debt!N210</f>
        <v>161905.23482396003</v>
      </c>
      <c r="O57" s="579">
        <f>Debt!O210</f>
        <v>161868.48482396003</v>
      </c>
      <c r="P57" s="579">
        <f>Debt!P210</f>
        <v>161826.98482396003</v>
      </c>
      <c r="R57" s="588">
        <v>0</v>
      </c>
      <c r="S57" s="589">
        <f t="shared" ref="S57" si="67">1-R57</f>
        <v>1</v>
      </c>
      <c r="U57" s="432" t="s">
        <v>329</v>
      </c>
    </row>
    <row r="58" spans="1:21" ht="12.75" customHeight="1" x14ac:dyDescent="0.25">
      <c r="A58" s="560" t="s">
        <v>325</v>
      </c>
      <c r="B58" s="136"/>
      <c r="C58" s="136"/>
      <c r="D58" s="136"/>
      <c r="E58" s="603">
        <v>0</v>
      </c>
      <c r="F58" s="603">
        <v>0</v>
      </c>
      <c r="G58" s="604">
        <f>'WW-CIP'!G67</f>
        <v>0</v>
      </c>
      <c r="H58" s="563">
        <f>'WW-CIP'!H67</f>
        <v>1425000</v>
      </c>
      <c r="I58" s="563">
        <f>'WW-CIP'!I67</f>
        <v>375000</v>
      </c>
      <c r="J58" s="563">
        <f>'WW-CIP'!J67</f>
        <v>675000</v>
      </c>
      <c r="K58" s="563">
        <f>'WW-CIP'!K67</f>
        <v>25000</v>
      </c>
      <c r="L58" s="563">
        <f>'WW-CIP'!L67</f>
        <v>25000</v>
      </c>
      <c r="M58" s="563">
        <f>'WW-CIP'!M67</f>
        <v>25000</v>
      </c>
      <c r="N58" s="563">
        <f>'WW-CIP'!N67</f>
        <v>25000</v>
      </c>
      <c r="O58" s="563">
        <f>'WW-CIP'!O67</f>
        <v>25000</v>
      </c>
      <c r="P58" s="563">
        <f>'WW-CIP'!P67</f>
        <v>25000</v>
      </c>
      <c r="R58" s="588">
        <v>0</v>
      </c>
      <c r="S58" s="589">
        <f t="shared" si="6"/>
        <v>1</v>
      </c>
      <c r="U58" s="432" t="s">
        <v>330</v>
      </c>
    </row>
    <row r="59" spans="1:21" ht="12.75" customHeight="1" x14ac:dyDescent="0.25">
      <c r="A59" s="108"/>
      <c r="B59" s="108"/>
      <c r="C59" s="108"/>
      <c r="D59" s="578" t="s">
        <v>308</v>
      </c>
      <c r="E59" s="581">
        <f>SUM(E44:E58)</f>
        <v>2028520.98</v>
      </c>
      <c r="F59" s="581">
        <f t="shared" ref="F59:I59" si="68">SUM(F44:F58)</f>
        <v>2101227</v>
      </c>
      <c r="G59" s="582">
        <f t="shared" si="68"/>
        <v>2334783.871518</v>
      </c>
      <c r="H59" s="581">
        <f t="shared" si="68"/>
        <v>3825768.371518</v>
      </c>
      <c r="I59" s="581">
        <f t="shared" si="68"/>
        <v>2893931.8789299796</v>
      </c>
      <c r="J59" s="581">
        <f t="shared" ref="J59:P59" si="69">SUM(J44:J58)</f>
        <v>3314129.6655419599</v>
      </c>
      <c r="K59" s="581">
        <f t="shared" si="69"/>
        <v>2736218.7848179601</v>
      </c>
      <c r="L59" s="581">
        <f t="shared" si="69"/>
        <v>2810466.3601722401</v>
      </c>
      <c r="M59" s="581">
        <f t="shared" si="69"/>
        <v>2886937.2877871487</v>
      </c>
      <c r="N59" s="581">
        <f t="shared" si="69"/>
        <v>2965698.4107305044</v>
      </c>
      <c r="O59" s="581">
        <f t="shared" si="69"/>
        <v>3046818.5773621607</v>
      </c>
      <c r="P59" s="581">
        <f t="shared" si="69"/>
        <v>3130368.7014927668</v>
      </c>
      <c r="R59" s="589"/>
      <c r="S59" s="589"/>
    </row>
    <row r="60" spans="1:21" ht="12.75" customHeight="1" x14ac:dyDescent="0.25">
      <c r="A60" s="108"/>
      <c r="B60" s="108"/>
      <c r="C60" s="108"/>
      <c r="D60" s="578"/>
      <c r="E60" s="581"/>
      <c r="F60" s="581"/>
      <c r="G60" s="582"/>
      <c r="H60" s="581"/>
      <c r="I60" s="581"/>
      <c r="J60" s="581"/>
      <c r="K60" s="581"/>
      <c r="L60" s="581"/>
      <c r="M60" s="581"/>
      <c r="N60" s="581"/>
      <c r="O60" s="581"/>
      <c r="P60" s="581"/>
      <c r="R60" s="589"/>
      <c r="S60" s="589"/>
    </row>
    <row r="61" spans="1:21" ht="12.75" customHeight="1" x14ac:dyDescent="0.25">
      <c r="A61" s="108"/>
      <c r="B61" s="108"/>
      <c r="C61" s="108"/>
      <c r="D61" s="566" t="s">
        <v>326</v>
      </c>
      <c r="E61" s="567">
        <f>E23+E41+E59</f>
        <v>4980724.96</v>
      </c>
      <c r="F61" s="567">
        <f t="shared" ref="F61:I61" si="70">F23+F41+F59</f>
        <v>5040187</v>
      </c>
      <c r="G61" s="586">
        <f t="shared" si="70"/>
        <v>5491341.6418638201</v>
      </c>
      <c r="H61" s="567">
        <f t="shared" si="70"/>
        <v>7098507.6418638201</v>
      </c>
      <c r="I61" s="567">
        <f t="shared" si="70"/>
        <v>6260583.4492757991</v>
      </c>
      <c r="J61" s="567">
        <f t="shared" ref="J61:P61" si="71">J23+J41+J59</f>
        <v>6777506.4023877801</v>
      </c>
      <c r="K61" s="567">
        <f t="shared" si="71"/>
        <v>6299218.0831587799</v>
      </c>
      <c r="L61" s="567">
        <f t="shared" si="71"/>
        <v>6476072.6793529103</v>
      </c>
      <c r="M61" s="567">
        <f t="shared" si="71"/>
        <v>6658224.763432865</v>
      </c>
      <c r="N61" s="567">
        <f t="shared" si="71"/>
        <v>6845833.545035217</v>
      </c>
      <c r="O61" s="567">
        <f t="shared" si="71"/>
        <v>7039063.0100856405</v>
      </c>
      <c r="P61" s="567">
        <f t="shared" si="71"/>
        <v>7238082.0640875772</v>
      </c>
      <c r="R61" s="589"/>
      <c r="S61" s="589"/>
    </row>
    <row r="62" spans="1:21" ht="12.75" customHeight="1" thickBot="1" x14ac:dyDescent="0.3">
      <c r="A62" s="115"/>
      <c r="B62" s="115"/>
      <c r="C62" s="115"/>
      <c r="D62" s="585"/>
      <c r="E62" s="115"/>
      <c r="F62" s="115"/>
      <c r="G62" s="262"/>
      <c r="H62" s="115"/>
      <c r="I62" s="115"/>
      <c r="J62" s="115"/>
      <c r="K62" s="115"/>
      <c r="L62" s="115"/>
      <c r="M62" s="115"/>
      <c r="N62" s="115"/>
      <c r="O62" s="115"/>
      <c r="P62" s="115"/>
    </row>
    <row r="64" spans="1:21" ht="12.75" customHeight="1" x14ac:dyDescent="0.25">
      <c r="D64" s="566" t="s">
        <v>310</v>
      </c>
      <c r="E64" s="567">
        <f>E61-(E90+E117)</f>
        <v>0</v>
      </c>
      <c r="F64" s="567">
        <f t="shared" ref="F64:I64" si="72">F61-(F90+F117)</f>
        <v>0</v>
      </c>
      <c r="G64" s="567">
        <f t="shared" si="72"/>
        <v>0</v>
      </c>
      <c r="H64" s="567">
        <f t="shared" si="72"/>
        <v>0</v>
      </c>
      <c r="I64" s="567">
        <f t="shared" si="72"/>
        <v>0</v>
      </c>
      <c r="J64" s="567">
        <f t="shared" ref="J64:P64" si="73">J61-(J90+J117)</f>
        <v>0</v>
      </c>
      <c r="K64" s="567">
        <f t="shared" si="73"/>
        <v>0</v>
      </c>
      <c r="L64" s="567">
        <f t="shared" si="73"/>
        <v>0</v>
      </c>
      <c r="M64" s="567">
        <f t="shared" si="73"/>
        <v>0</v>
      </c>
      <c r="N64" s="567">
        <f t="shared" si="73"/>
        <v>0</v>
      </c>
      <c r="O64" s="567">
        <f t="shared" si="73"/>
        <v>0</v>
      </c>
      <c r="P64" s="567">
        <f t="shared" si="73"/>
        <v>0</v>
      </c>
    </row>
    <row r="65" spans="1:16" ht="12.75" customHeight="1" x14ac:dyDescent="0.25">
      <c r="D65" s="566"/>
      <c r="E65" s="567"/>
      <c r="F65" s="567"/>
      <c r="G65" s="567"/>
      <c r="H65" s="567"/>
      <c r="I65" s="567"/>
      <c r="J65" s="567"/>
      <c r="K65" s="567"/>
      <c r="L65" s="567"/>
      <c r="M65" s="567"/>
      <c r="N65" s="567"/>
      <c r="O65" s="567"/>
      <c r="P65" s="567"/>
    </row>
    <row r="66" spans="1:16" ht="12.75" customHeight="1" x14ac:dyDescent="0.25">
      <c r="D66" s="566"/>
      <c r="E66" s="567"/>
      <c r="F66" s="567"/>
      <c r="G66" s="567"/>
      <c r="H66" s="567"/>
      <c r="I66" s="567"/>
      <c r="J66" s="567"/>
      <c r="K66" s="567"/>
      <c r="L66" s="567"/>
      <c r="M66" s="567"/>
      <c r="N66" s="567"/>
      <c r="O66" s="567"/>
      <c r="P66" s="567"/>
    </row>
    <row r="67" spans="1:16" ht="12.75" customHeight="1" x14ac:dyDescent="0.25">
      <c r="A67" s="139" t="s">
        <v>16</v>
      </c>
      <c r="B67" s="108"/>
      <c r="C67" s="108"/>
      <c r="D67" s="108"/>
      <c r="E67" s="108"/>
      <c r="F67" s="108"/>
      <c r="G67" s="108"/>
      <c r="H67" s="108"/>
      <c r="I67" s="108"/>
      <c r="J67" s="108"/>
      <c r="K67" s="108"/>
      <c r="L67" s="108"/>
      <c r="M67" s="108"/>
      <c r="N67" s="108"/>
      <c r="O67" s="108"/>
      <c r="P67" s="108"/>
    </row>
    <row r="68" spans="1:16" ht="12.75" customHeight="1" x14ac:dyDescent="0.25">
      <c r="A68" s="139" t="s">
        <v>37</v>
      </c>
      <c r="B68" s="108"/>
      <c r="C68" s="108"/>
      <c r="D68" s="108"/>
      <c r="E68" s="108"/>
      <c r="F68" s="108"/>
      <c r="G68" s="108"/>
      <c r="H68" s="108"/>
      <c r="I68" s="108"/>
      <c r="J68" s="108"/>
      <c r="K68" s="108"/>
      <c r="L68" s="108"/>
      <c r="M68" s="108"/>
      <c r="N68" s="108"/>
      <c r="O68" s="108"/>
      <c r="P68" s="108"/>
    </row>
    <row r="69" spans="1:16" ht="12.75" customHeight="1" x14ac:dyDescent="0.25">
      <c r="A69" s="363" t="s">
        <v>59</v>
      </c>
      <c r="B69" s="108"/>
      <c r="C69" s="108"/>
      <c r="D69" s="256"/>
      <c r="E69" s="108"/>
      <c r="F69" s="108"/>
      <c r="G69" s="108"/>
      <c r="H69" s="108"/>
      <c r="I69" s="108"/>
      <c r="J69" s="108"/>
      <c r="K69" s="108"/>
      <c r="L69" s="108"/>
      <c r="M69" s="108"/>
      <c r="N69" s="108"/>
      <c r="O69" s="108"/>
      <c r="P69" s="108"/>
    </row>
    <row r="70" spans="1:16" ht="12.75" customHeight="1" thickBot="1" x14ac:dyDescent="0.3">
      <c r="A70" s="78" t="s">
        <v>428</v>
      </c>
      <c r="B70" s="115"/>
      <c r="C70" s="115"/>
      <c r="D70" s="115"/>
      <c r="E70" s="115"/>
      <c r="F70" s="115"/>
      <c r="G70" s="115"/>
      <c r="H70" s="115"/>
      <c r="I70" s="115"/>
      <c r="J70" s="115"/>
      <c r="K70" s="115"/>
      <c r="L70" s="115"/>
      <c r="M70" s="115"/>
      <c r="N70" s="115"/>
      <c r="O70" s="115"/>
      <c r="P70" s="115"/>
    </row>
    <row r="71" spans="1:16" ht="12.75" customHeight="1" x14ac:dyDescent="0.25">
      <c r="A71" s="646" t="s">
        <v>215</v>
      </c>
      <c r="B71" s="646"/>
      <c r="C71" s="646"/>
      <c r="D71" s="242"/>
      <c r="E71" s="281">
        <f>Sum!E$5</f>
        <v>2023</v>
      </c>
      <c r="F71" s="281">
        <f>Sum!F$5</f>
        <v>2024</v>
      </c>
      <c r="G71" s="282">
        <f>Sum!G$5</f>
        <v>2025</v>
      </c>
      <c r="H71" s="281">
        <f>Sum!H$5</f>
        <v>2026</v>
      </c>
      <c r="I71" s="281">
        <f>Sum!I$5</f>
        <v>2027</v>
      </c>
      <c r="J71" s="281">
        <f>Sum!J$5</f>
        <v>2028</v>
      </c>
      <c r="K71" s="281">
        <f>Sum!K$5</f>
        <v>2029</v>
      </c>
      <c r="L71" s="281">
        <f>Sum!L$5</f>
        <v>2030</v>
      </c>
      <c r="M71" s="281">
        <f>Sum!M$5</f>
        <v>2031</v>
      </c>
      <c r="N71" s="281">
        <f>Sum!N$5</f>
        <v>2032</v>
      </c>
      <c r="O71" s="281">
        <f>Sum!O$5</f>
        <v>2033</v>
      </c>
      <c r="P71" s="281">
        <f>Sum!P$5</f>
        <v>2034</v>
      </c>
    </row>
    <row r="72" spans="1:16" ht="12.75" customHeight="1" x14ac:dyDescent="0.25">
      <c r="A72" s="108"/>
      <c r="B72" s="108"/>
      <c r="C72" s="108"/>
      <c r="D72" s="108"/>
      <c r="E72" s="108"/>
      <c r="F72" s="108"/>
      <c r="G72" s="255"/>
      <c r="H72" s="108"/>
      <c r="I72" s="108"/>
      <c r="J72" s="108"/>
      <c r="K72" s="108"/>
      <c r="L72" s="108"/>
      <c r="M72" s="108"/>
      <c r="N72" s="108"/>
      <c r="O72" s="108"/>
      <c r="P72" s="108"/>
    </row>
    <row r="73" spans="1:16" ht="12.75" customHeight="1" x14ac:dyDescent="0.25">
      <c r="A73" s="139" t="s">
        <v>323</v>
      </c>
      <c r="B73" s="108"/>
      <c r="C73" s="108"/>
      <c r="D73" s="108"/>
      <c r="E73" s="579"/>
      <c r="F73" s="579"/>
      <c r="G73" s="580"/>
      <c r="H73" s="579"/>
      <c r="I73" s="579"/>
      <c r="J73" s="579"/>
      <c r="K73" s="579"/>
      <c r="L73" s="579"/>
      <c r="M73" s="579"/>
      <c r="N73" s="579"/>
      <c r="O73" s="579"/>
      <c r="P73" s="579"/>
    </row>
    <row r="74" spans="1:16" ht="12.75" customHeight="1" x14ac:dyDescent="0.25">
      <c r="A74" s="432" t="s">
        <v>384</v>
      </c>
      <c r="B74" s="108"/>
      <c r="C74" s="108"/>
      <c r="D74" s="108"/>
      <c r="E74" s="579">
        <f>(E26*$R26)+(E44*$R44)</f>
        <v>2206340</v>
      </c>
      <c r="F74" s="579">
        <f t="shared" ref="F74:P74" si="74">(F26*$R26)+(F44*$R44)</f>
        <v>2270134</v>
      </c>
      <c r="G74" s="580">
        <f t="shared" si="74"/>
        <v>2250100</v>
      </c>
      <c r="H74" s="579">
        <f t="shared" si="74"/>
        <v>2317603</v>
      </c>
      <c r="I74" s="579">
        <f t="shared" si="74"/>
        <v>2387131.09</v>
      </c>
      <c r="J74" s="579">
        <f t="shared" si="74"/>
        <v>2458745.0227000001</v>
      </c>
      <c r="K74" s="579">
        <f t="shared" si="74"/>
        <v>2532507.373381</v>
      </c>
      <c r="L74" s="579">
        <f t="shared" si="74"/>
        <v>2608482.5945824301</v>
      </c>
      <c r="M74" s="579">
        <f t="shared" si="74"/>
        <v>2686737.0724199032</v>
      </c>
      <c r="N74" s="579">
        <f t="shared" si="74"/>
        <v>2767339.1845925003</v>
      </c>
      <c r="O74" s="579">
        <f t="shared" si="74"/>
        <v>2850359.3601302756</v>
      </c>
      <c r="P74" s="579">
        <f t="shared" si="74"/>
        <v>2935870.1409341837</v>
      </c>
    </row>
    <row r="75" spans="1:16" ht="12.75" customHeight="1" x14ac:dyDescent="0.25">
      <c r="A75" s="432" t="s">
        <v>299</v>
      </c>
      <c r="B75" s="108"/>
      <c r="C75" s="108"/>
      <c r="D75" s="108"/>
      <c r="E75" s="579">
        <f t="shared" ref="E75:P75" si="75">(E27*$R27)+(E45*$R45)</f>
        <v>0</v>
      </c>
      <c r="F75" s="579">
        <f t="shared" si="75"/>
        <v>0</v>
      </c>
      <c r="G75" s="580">
        <f t="shared" si="75"/>
        <v>0</v>
      </c>
      <c r="H75" s="579">
        <f t="shared" si="75"/>
        <v>0</v>
      </c>
      <c r="I75" s="579">
        <f t="shared" si="75"/>
        <v>0</v>
      </c>
      <c r="J75" s="579">
        <f t="shared" si="75"/>
        <v>0</v>
      </c>
      <c r="K75" s="579">
        <f t="shared" si="75"/>
        <v>0</v>
      </c>
      <c r="L75" s="579">
        <f t="shared" si="75"/>
        <v>0</v>
      </c>
      <c r="M75" s="579">
        <f t="shared" si="75"/>
        <v>0</v>
      </c>
      <c r="N75" s="579">
        <f t="shared" si="75"/>
        <v>0</v>
      </c>
      <c r="O75" s="579">
        <f t="shared" si="75"/>
        <v>0</v>
      </c>
      <c r="P75" s="579">
        <f t="shared" si="75"/>
        <v>0</v>
      </c>
    </row>
    <row r="76" spans="1:16" ht="12.75" customHeight="1" x14ac:dyDescent="0.25">
      <c r="A76" s="432" t="s">
        <v>299</v>
      </c>
      <c r="B76" s="108"/>
      <c r="C76" s="108"/>
      <c r="D76" s="108"/>
      <c r="E76" s="579">
        <f t="shared" ref="E76:P76" si="76">(E28*$R28)+(E46*$R46)</f>
        <v>0</v>
      </c>
      <c r="F76" s="579">
        <f t="shared" si="76"/>
        <v>0</v>
      </c>
      <c r="G76" s="580">
        <f t="shared" si="76"/>
        <v>0</v>
      </c>
      <c r="H76" s="579">
        <f t="shared" si="76"/>
        <v>0</v>
      </c>
      <c r="I76" s="579">
        <f t="shared" si="76"/>
        <v>0</v>
      </c>
      <c r="J76" s="579">
        <f t="shared" si="76"/>
        <v>0</v>
      </c>
      <c r="K76" s="579">
        <f t="shared" si="76"/>
        <v>0</v>
      </c>
      <c r="L76" s="579">
        <f t="shared" si="76"/>
        <v>0</v>
      </c>
      <c r="M76" s="579">
        <f t="shared" si="76"/>
        <v>0</v>
      </c>
      <c r="N76" s="579">
        <f t="shared" si="76"/>
        <v>0</v>
      </c>
      <c r="O76" s="579">
        <f t="shared" si="76"/>
        <v>0</v>
      </c>
      <c r="P76" s="579">
        <f t="shared" si="76"/>
        <v>0</v>
      </c>
    </row>
    <row r="77" spans="1:16" ht="12.75" customHeight="1" x14ac:dyDescent="0.25">
      <c r="A77" s="432" t="s">
        <v>299</v>
      </c>
      <c r="B77" s="108"/>
      <c r="C77" s="108"/>
      <c r="D77" s="108"/>
      <c r="E77" s="579">
        <f t="shared" ref="E77:P77" si="77">(E29*$R29)+(E47*$R47)</f>
        <v>0</v>
      </c>
      <c r="F77" s="579">
        <f t="shared" si="77"/>
        <v>0</v>
      </c>
      <c r="G77" s="580">
        <f t="shared" si="77"/>
        <v>0</v>
      </c>
      <c r="H77" s="579">
        <f t="shared" si="77"/>
        <v>0</v>
      </c>
      <c r="I77" s="579">
        <f t="shared" si="77"/>
        <v>0</v>
      </c>
      <c r="J77" s="579">
        <f t="shared" si="77"/>
        <v>0</v>
      </c>
      <c r="K77" s="579">
        <f t="shared" si="77"/>
        <v>0</v>
      </c>
      <c r="L77" s="579">
        <f t="shared" si="77"/>
        <v>0</v>
      </c>
      <c r="M77" s="579">
        <f t="shared" si="77"/>
        <v>0</v>
      </c>
      <c r="N77" s="579">
        <f t="shared" si="77"/>
        <v>0</v>
      </c>
      <c r="O77" s="579">
        <f t="shared" si="77"/>
        <v>0</v>
      </c>
      <c r="P77" s="579">
        <f t="shared" si="77"/>
        <v>0</v>
      </c>
    </row>
    <row r="78" spans="1:16" ht="12.75" customHeight="1" x14ac:dyDescent="0.25">
      <c r="A78" s="432" t="s">
        <v>299</v>
      </c>
      <c r="B78" s="108"/>
      <c r="C78" s="108"/>
      <c r="D78" s="108"/>
      <c r="E78" s="579">
        <f t="shared" ref="E78:P78" si="78">(E30*$R30)+(E48*$R48)</f>
        <v>0</v>
      </c>
      <c r="F78" s="579">
        <f t="shared" si="78"/>
        <v>0</v>
      </c>
      <c r="G78" s="580">
        <f t="shared" si="78"/>
        <v>0</v>
      </c>
      <c r="H78" s="579">
        <f t="shared" si="78"/>
        <v>0</v>
      </c>
      <c r="I78" s="579">
        <f t="shared" si="78"/>
        <v>0</v>
      </c>
      <c r="J78" s="579">
        <f t="shared" si="78"/>
        <v>0</v>
      </c>
      <c r="K78" s="579">
        <f t="shared" si="78"/>
        <v>0</v>
      </c>
      <c r="L78" s="579">
        <f t="shared" si="78"/>
        <v>0</v>
      </c>
      <c r="M78" s="579">
        <f t="shared" si="78"/>
        <v>0</v>
      </c>
      <c r="N78" s="579">
        <f t="shared" si="78"/>
        <v>0</v>
      </c>
      <c r="O78" s="579">
        <f t="shared" si="78"/>
        <v>0</v>
      </c>
      <c r="P78" s="579">
        <f t="shared" si="78"/>
        <v>0</v>
      </c>
    </row>
    <row r="79" spans="1:16" ht="12.75" customHeight="1" x14ac:dyDescent="0.25">
      <c r="A79" s="432" t="s">
        <v>299</v>
      </c>
      <c r="B79" s="108"/>
      <c r="C79" s="108"/>
      <c r="D79" s="108"/>
      <c r="E79" s="579">
        <f t="shared" ref="E79:P79" si="79">(E31*$R31)+(E49*$R49)</f>
        <v>0</v>
      </c>
      <c r="F79" s="579">
        <f t="shared" si="79"/>
        <v>0</v>
      </c>
      <c r="G79" s="580">
        <f t="shared" si="79"/>
        <v>0</v>
      </c>
      <c r="H79" s="579">
        <f t="shared" si="79"/>
        <v>0</v>
      </c>
      <c r="I79" s="579">
        <f t="shared" si="79"/>
        <v>0</v>
      </c>
      <c r="J79" s="579">
        <f t="shared" si="79"/>
        <v>0</v>
      </c>
      <c r="K79" s="579">
        <f t="shared" si="79"/>
        <v>0</v>
      </c>
      <c r="L79" s="579">
        <f t="shared" si="79"/>
        <v>0</v>
      </c>
      <c r="M79" s="579">
        <f t="shared" si="79"/>
        <v>0</v>
      </c>
      <c r="N79" s="579">
        <f t="shared" si="79"/>
        <v>0</v>
      </c>
      <c r="O79" s="579">
        <f t="shared" si="79"/>
        <v>0</v>
      </c>
      <c r="P79" s="579">
        <f t="shared" si="79"/>
        <v>0</v>
      </c>
    </row>
    <row r="80" spans="1:16" ht="12.75" customHeight="1" x14ac:dyDescent="0.25">
      <c r="A80" s="432" t="s">
        <v>299</v>
      </c>
      <c r="B80" s="108"/>
      <c r="C80" s="108"/>
      <c r="D80" s="108"/>
      <c r="E80" s="579">
        <f t="shared" ref="E80:P80" si="80">(E32*$R32)+(E50*$R50)</f>
        <v>0</v>
      </c>
      <c r="F80" s="579">
        <f t="shared" si="80"/>
        <v>0</v>
      </c>
      <c r="G80" s="580">
        <f t="shared" si="80"/>
        <v>0</v>
      </c>
      <c r="H80" s="579">
        <f t="shared" si="80"/>
        <v>0</v>
      </c>
      <c r="I80" s="579">
        <f t="shared" si="80"/>
        <v>0</v>
      </c>
      <c r="J80" s="579">
        <f t="shared" si="80"/>
        <v>0</v>
      </c>
      <c r="K80" s="579">
        <f t="shared" si="80"/>
        <v>0</v>
      </c>
      <c r="L80" s="579">
        <f t="shared" si="80"/>
        <v>0</v>
      </c>
      <c r="M80" s="579">
        <f t="shared" si="80"/>
        <v>0</v>
      </c>
      <c r="N80" s="579">
        <f t="shared" si="80"/>
        <v>0</v>
      </c>
      <c r="O80" s="579">
        <f t="shared" si="80"/>
        <v>0</v>
      </c>
      <c r="P80" s="579">
        <f t="shared" si="80"/>
        <v>0</v>
      </c>
    </row>
    <row r="81" spans="1:16" ht="12.75" customHeight="1" x14ac:dyDescent="0.25">
      <c r="A81" s="432" t="s">
        <v>299</v>
      </c>
      <c r="B81" s="108"/>
      <c r="C81" s="108"/>
      <c r="D81" s="108"/>
      <c r="E81" s="579">
        <f t="shared" ref="E81:P81" si="81">(E33*$R33)+(E51*$R51)</f>
        <v>0</v>
      </c>
      <c r="F81" s="579">
        <f t="shared" si="81"/>
        <v>0</v>
      </c>
      <c r="G81" s="580">
        <f t="shared" si="81"/>
        <v>0</v>
      </c>
      <c r="H81" s="579">
        <f t="shared" si="81"/>
        <v>0</v>
      </c>
      <c r="I81" s="579">
        <f t="shared" si="81"/>
        <v>0</v>
      </c>
      <c r="J81" s="579">
        <f t="shared" si="81"/>
        <v>0</v>
      </c>
      <c r="K81" s="579">
        <f t="shared" si="81"/>
        <v>0</v>
      </c>
      <c r="L81" s="579">
        <f t="shared" si="81"/>
        <v>0</v>
      </c>
      <c r="M81" s="579">
        <f t="shared" si="81"/>
        <v>0</v>
      </c>
      <c r="N81" s="579">
        <f t="shared" si="81"/>
        <v>0</v>
      </c>
      <c r="O81" s="579">
        <f t="shared" si="81"/>
        <v>0</v>
      </c>
      <c r="P81" s="579">
        <f t="shared" si="81"/>
        <v>0</v>
      </c>
    </row>
    <row r="82" spans="1:16" ht="12.75" customHeight="1" x14ac:dyDescent="0.25">
      <c r="A82" s="432" t="s">
        <v>299</v>
      </c>
      <c r="B82" s="108"/>
      <c r="C82" s="108"/>
      <c r="D82" s="108"/>
      <c r="E82" s="579">
        <f t="shared" ref="E82:P82" si="82">(E34*$R34)+(E52*$R52)</f>
        <v>0</v>
      </c>
      <c r="F82" s="579">
        <f t="shared" si="82"/>
        <v>0</v>
      </c>
      <c r="G82" s="580">
        <f t="shared" si="82"/>
        <v>0</v>
      </c>
      <c r="H82" s="579">
        <f t="shared" si="82"/>
        <v>0</v>
      </c>
      <c r="I82" s="579">
        <f t="shared" si="82"/>
        <v>0</v>
      </c>
      <c r="J82" s="579">
        <f t="shared" si="82"/>
        <v>0</v>
      </c>
      <c r="K82" s="579">
        <f t="shared" si="82"/>
        <v>0</v>
      </c>
      <c r="L82" s="579">
        <f t="shared" si="82"/>
        <v>0</v>
      </c>
      <c r="M82" s="579">
        <f t="shared" si="82"/>
        <v>0</v>
      </c>
      <c r="N82" s="579">
        <f t="shared" si="82"/>
        <v>0</v>
      </c>
      <c r="O82" s="579">
        <f t="shared" si="82"/>
        <v>0</v>
      </c>
      <c r="P82" s="579">
        <f t="shared" si="82"/>
        <v>0</v>
      </c>
    </row>
    <row r="83" spans="1:16" ht="12.75" customHeight="1" x14ac:dyDescent="0.25">
      <c r="A83" s="432" t="s">
        <v>299</v>
      </c>
      <c r="B83" s="108"/>
      <c r="C83" s="108"/>
      <c r="D83" s="108"/>
      <c r="E83" s="579">
        <f t="shared" ref="E83:P83" si="83">(E35*$R35)+(E53*$R53)</f>
        <v>0</v>
      </c>
      <c r="F83" s="579">
        <f t="shared" si="83"/>
        <v>0</v>
      </c>
      <c r="G83" s="580">
        <f t="shared" si="83"/>
        <v>0</v>
      </c>
      <c r="H83" s="579">
        <f t="shared" si="83"/>
        <v>0</v>
      </c>
      <c r="I83" s="579">
        <f t="shared" si="83"/>
        <v>0</v>
      </c>
      <c r="J83" s="579">
        <f t="shared" si="83"/>
        <v>0</v>
      </c>
      <c r="K83" s="579">
        <f t="shared" si="83"/>
        <v>0</v>
      </c>
      <c r="L83" s="579">
        <f t="shared" si="83"/>
        <v>0</v>
      </c>
      <c r="M83" s="579">
        <f t="shared" si="83"/>
        <v>0</v>
      </c>
      <c r="N83" s="579">
        <f t="shared" si="83"/>
        <v>0</v>
      </c>
      <c r="O83" s="579">
        <f t="shared" si="83"/>
        <v>0</v>
      </c>
      <c r="P83" s="579">
        <f t="shared" si="83"/>
        <v>0</v>
      </c>
    </row>
    <row r="84" spans="1:16" ht="12.75" customHeight="1" x14ac:dyDescent="0.25">
      <c r="A84" s="432" t="s">
        <v>299</v>
      </c>
      <c r="B84" s="108"/>
      <c r="C84" s="108"/>
      <c r="D84" s="108"/>
      <c r="E84" s="579">
        <f t="shared" ref="E84:P84" si="84">(E36*$R36)+(E54*$R54)</f>
        <v>0</v>
      </c>
      <c r="F84" s="579">
        <f t="shared" si="84"/>
        <v>0</v>
      </c>
      <c r="G84" s="580">
        <f t="shared" si="84"/>
        <v>0</v>
      </c>
      <c r="H84" s="579">
        <f t="shared" si="84"/>
        <v>0</v>
      </c>
      <c r="I84" s="579">
        <f t="shared" si="84"/>
        <v>0</v>
      </c>
      <c r="J84" s="579">
        <f t="shared" si="84"/>
        <v>0</v>
      </c>
      <c r="K84" s="579">
        <f t="shared" si="84"/>
        <v>0</v>
      </c>
      <c r="L84" s="579">
        <f t="shared" si="84"/>
        <v>0</v>
      </c>
      <c r="M84" s="579">
        <f t="shared" si="84"/>
        <v>0</v>
      </c>
      <c r="N84" s="579">
        <f t="shared" si="84"/>
        <v>0</v>
      </c>
      <c r="O84" s="579">
        <f t="shared" si="84"/>
        <v>0</v>
      </c>
      <c r="P84" s="579">
        <f t="shared" si="84"/>
        <v>0</v>
      </c>
    </row>
    <row r="85" spans="1:16" ht="12.75" customHeight="1" x14ac:dyDescent="0.25">
      <c r="A85" s="432" t="s">
        <v>299</v>
      </c>
      <c r="B85" s="108"/>
      <c r="C85" s="108"/>
      <c r="D85" s="108"/>
      <c r="E85" s="579">
        <f t="shared" ref="E85:P85" si="85">(E37*$R37)+(E55*$R55)</f>
        <v>0</v>
      </c>
      <c r="F85" s="579">
        <f t="shared" si="85"/>
        <v>0</v>
      </c>
      <c r="G85" s="580">
        <f t="shared" si="85"/>
        <v>0</v>
      </c>
      <c r="H85" s="579">
        <f t="shared" si="85"/>
        <v>0</v>
      </c>
      <c r="I85" s="579">
        <f t="shared" si="85"/>
        <v>0</v>
      </c>
      <c r="J85" s="579">
        <f t="shared" si="85"/>
        <v>0</v>
      </c>
      <c r="K85" s="579">
        <f t="shared" si="85"/>
        <v>0</v>
      </c>
      <c r="L85" s="579">
        <f t="shared" si="85"/>
        <v>0</v>
      </c>
      <c r="M85" s="579">
        <f t="shared" si="85"/>
        <v>0</v>
      </c>
      <c r="N85" s="579">
        <f t="shared" si="85"/>
        <v>0</v>
      </c>
      <c r="O85" s="579">
        <f t="shared" si="85"/>
        <v>0</v>
      </c>
      <c r="P85" s="579">
        <f t="shared" si="85"/>
        <v>0</v>
      </c>
    </row>
    <row r="86" spans="1:16" ht="12.75" customHeight="1" x14ac:dyDescent="0.25">
      <c r="A86" s="432" t="s">
        <v>348</v>
      </c>
      <c r="B86" s="108"/>
      <c r="C86" s="108"/>
      <c r="D86" s="108"/>
      <c r="E86" s="579">
        <f>(E8*$R8)+(E9*$R9)+(E10*$R10)+(E11*$R11)+(E12*$R12)+(E13*$R13)+(E14*$R14)+(E15*$R15)+(E16*$R16)+(E17*$R17)+(E18*$R18)+(E19*$R19)+(E20*$R20)+(E21*$R21)+(E22*$R22)</f>
        <v>344092</v>
      </c>
      <c r="F86" s="579">
        <f t="shared" ref="F86:P86" si="86">(F8*$R8)+(F9*$R9)+(F10*$R10)+(F11*$R11)+(F12*$R12)+(F13*$R13)+(F14*$R14)+(F15*$R15)+(F16*$R16)+(F17*$R17)+(F18*$R18)+(F19*$R19)+(F20*$R20)+(F21*$R21)+(F22*$R22)</f>
        <v>303603</v>
      </c>
      <c r="G86" s="580">
        <f t="shared" si="86"/>
        <v>394700</v>
      </c>
      <c r="H86" s="579">
        <f t="shared" si="86"/>
        <v>406541</v>
      </c>
      <c r="I86" s="579">
        <f t="shared" si="86"/>
        <v>418737.23</v>
      </c>
      <c r="J86" s="579">
        <f t="shared" si="86"/>
        <v>431299.3469</v>
      </c>
      <c r="K86" s="579">
        <f t="shared" si="86"/>
        <v>444238.327307</v>
      </c>
      <c r="L86" s="579">
        <f t="shared" si="86"/>
        <v>457565.47712621005</v>
      </c>
      <c r="M86" s="579">
        <f t="shared" si="86"/>
        <v>471292.44143999636</v>
      </c>
      <c r="N86" s="579">
        <f t="shared" si="86"/>
        <v>485431.21468319627</v>
      </c>
      <c r="O86" s="579">
        <f t="shared" si="86"/>
        <v>499994.15112369222</v>
      </c>
      <c r="P86" s="579">
        <f t="shared" si="86"/>
        <v>514993.97565740295</v>
      </c>
    </row>
    <row r="87" spans="1:16" ht="12.75" customHeight="1" x14ac:dyDescent="0.25">
      <c r="A87" s="432" t="s">
        <v>347</v>
      </c>
      <c r="B87" s="108"/>
      <c r="C87" s="108"/>
      <c r="D87" s="108"/>
      <c r="E87" s="579">
        <f>E38</f>
        <v>0</v>
      </c>
      <c r="F87" s="579">
        <f t="shared" ref="F87:P87" si="87">F38</f>
        <v>0</v>
      </c>
      <c r="G87" s="580">
        <f t="shared" si="87"/>
        <v>55436.520345819998</v>
      </c>
      <c r="H87" s="579">
        <f t="shared" si="87"/>
        <v>55436.520345819998</v>
      </c>
      <c r="I87" s="579">
        <f t="shared" si="87"/>
        <v>55436.520345819998</v>
      </c>
      <c r="J87" s="579">
        <f t="shared" si="87"/>
        <v>55436.520345819998</v>
      </c>
      <c r="K87" s="579">
        <f t="shared" si="87"/>
        <v>55436.520345819998</v>
      </c>
      <c r="L87" s="579">
        <f t="shared" si="87"/>
        <v>55436.520345819998</v>
      </c>
      <c r="M87" s="579">
        <f t="shared" si="87"/>
        <v>55436.520345819998</v>
      </c>
      <c r="N87" s="579">
        <f t="shared" si="87"/>
        <v>55436.520345819998</v>
      </c>
      <c r="O87" s="579">
        <f t="shared" si="87"/>
        <v>55436.520345819998</v>
      </c>
      <c r="P87" s="579">
        <f t="shared" si="87"/>
        <v>55436.520345819998</v>
      </c>
    </row>
    <row r="88" spans="1:16" ht="12.75" customHeight="1" x14ac:dyDescent="0.25">
      <c r="A88" s="432" t="s">
        <v>305</v>
      </c>
      <c r="B88" s="108"/>
      <c r="C88" s="108"/>
      <c r="D88" s="108"/>
      <c r="E88" s="579">
        <f t="shared" ref="E88:P88" si="88">E39</f>
        <v>57679.98</v>
      </c>
      <c r="F88" s="579">
        <f t="shared" si="88"/>
        <v>61620</v>
      </c>
      <c r="G88" s="580">
        <f t="shared" si="88"/>
        <v>61621.25</v>
      </c>
      <c r="H88" s="579">
        <f t="shared" si="88"/>
        <v>61617.75</v>
      </c>
      <c r="I88" s="579">
        <f t="shared" si="88"/>
        <v>61609.5</v>
      </c>
      <c r="J88" s="579">
        <f t="shared" si="88"/>
        <v>61596.5</v>
      </c>
      <c r="K88" s="579">
        <f t="shared" si="88"/>
        <v>61578.75</v>
      </c>
      <c r="L88" s="579">
        <f t="shared" si="88"/>
        <v>61556.25</v>
      </c>
      <c r="M88" s="579">
        <f t="shared" si="88"/>
        <v>61529</v>
      </c>
      <c r="N88" s="579">
        <f t="shared" si="88"/>
        <v>61497</v>
      </c>
      <c r="O88" s="579">
        <f t="shared" si="88"/>
        <v>61460.25</v>
      </c>
      <c r="P88" s="579">
        <f t="shared" si="88"/>
        <v>61418.75</v>
      </c>
    </row>
    <row r="89" spans="1:16" ht="12.75" customHeight="1" x14ac:dyDescent="0.25">
      <c r="A89" s="560" t="s">
        <v>325</v>
      </c>
      <c r="B89" s="136"/>
      <c r="C89" s="136"/>
      <c r="D89" s="136"/>
      <c r="E89" s="563">
        <f t="shared" ref="E89:P89" si="89">E40</f>
        <v>0</v>
      </c>
      <c r="F89" s="563">
        <f t="shared" si="89"/>
        <v>0</v>
      </c>
      <c r="G89" s="600">
        <f t="shared" si="89"/>
        <v>0</v>
      </c>
      <c r="H89" s="563">
        <f t="shared" si="89"/>
        <v>25000</v>
      </c>
      <c r="I89" s="563">
        <f t="shared" si="89"/>
        <v>25000</v>
      </c>
      <c r="J89" s="563">
        <f t="shared" si="89"/>
        <v>25000</v>
      </c>
      <c r="K89" s="563">
        <f t="shared" si="89"/>
        <v>25000</v>
      </c>
      <c r="L89" s="563">
        <f t="shared" si="89"/>
        <v>25000</v>
      </c>
      <c r="M89" s="563">
        <f t="shared" si="89"/>
        <v>25000</v>
      </c>
      <c r="N89" s="563">
        <f t="shared" si="89"/>
        <v>25000</v>
      </c>
      <c r="O89" s="563">
        <f t="shared" si="89"/>
        <v>25000</v>
      </c>
      <c r="P89" s="563">
        <f t="shared" si="89"/>
        <v>25000</v>
      </c>
    </row>
    <row r="90" spans="1:16" ht="12.75" customHeight="1" x14ac:dyDescent="0.25">
      <c r="A90" s="108"/>
      <c r="B90" s="108"/>
      <c r="C90" s="108"/>
      <c r="D90" s="578" t="s">
        <v>307</v>
      </c>
      <c r="E90" s="581">
        <f>SUM(E74:E89)</f>
        <v>2608111.98</v>
      </c>
      <c r="F90" s="581">
        <f t="shared" ref="F90:I90" si="90">SUM(F74:F89)</f>
        <v>2635357</v>
      </c>
      <c r="G90" s="582">
        <f t="shared" si="90"/>
        <v>2761857.7703458201</v>
      </c>
      <c r="H90" s="581">
        <f t="shared" si="90"/>
        <v>2866198.2703458201</v>
      </c>
      <c r="I90" s="581">
        <f t="shared" si="90"/>
        <v>2947914.3403458199</v>
      </c>
      <c r="J90" s="581">
        <f t="shared" ref="J90:P90" si="91">SUM(J74:J89)</f>
        <v>3032077.38994582</v>
      </c>
      <c r="K90" s="581">
        <f t="shared" si="91"/>
        <v>3118760.97103382</v>
      </c>
      <c r="L90" s="581">
        <f t="shared" si="91"/>
        <v>3208040.8420544602</v>
      </c>
      <c r="M90" s="581">
        <f t="shared" si="91"/>
        <v>3299995.0342057198</v>
      </c>
      <c r="N90" s="581">
        <f t="shared" si="91"/>
        <v>3394703.919621517</v>
      </c>
      <c r="O90" s="581">
        <f t="shared" si="91"/>
        <v>3492250.281599788</v>
      </c>
      <c r="P90" s="581">
        <f t="shared" si="91"/>
        <v>3592719.3869374068</v>
      </c>
    </row>
    <row r="91" spans="1:16" ht="12.75" customHeight="1" thickBot="1" x14ac:dyDescent="0.3">
      <c r="A91" s="115"/>
      <c r="B91" s="115"/>
      <c r="C91" s="115"/>
      <c r="D91" s="585"/>
      <c r="E91" s="115"/>
      <c r="F91" s="115"/>
      <c r="G91" s="262"/>
      <c r="H91" s="115"/>
      <c r="I91" s="115"/>
      <c r="J91" s="115"/>
      <c r="K91" s="115"/>
      <c r="L91" s="115"/>
      <c r="M91" s="115"/>
      <c r="N91" s="115"/>
      <c r="O91" s="115"/>
      <c r="P91" s="115"/>
    </row>
    <row r="92" spans="1:16" ht="12.75" customHeight="1" x14ac:dyDescent="0.25">
      <c r="D92" s="566"/>
      <c r="E92" s="567"/>
      <c r="F92" s="567"/>
      <c r="G92" s="567"/>
      <c r="H92" s="567"/>
      <c r="I92" s="567"/>
      <c r="J92" s="567"/>
      <c r="K92" s="567"/>
      <c r="L92" s="567"/>
      <c r="M92" s="567"/>
      <c r="N92" s="567"/>
      <c r="O92" s="567"/>
      <c r="P92" s="567"/>
    </row>
    <row r="93" spans="1:16" ht="12.75" customHeight="1" x14ac:dyDescent="0.25">
      <c r="D93" s="566"/>
      <c r="E93" s="567"/>
      <c r="F93" s="567"/>
      <c r="G93" s="567"/>
      <c r="H93" s="567"/>
      <c r="I93" s="567"/>
      <c r="J93" s="567"/>
      <c r="K93" s="567"/>
      <c r="L93" s="567"/>
      <c r="M93" s="567"/>
      <c r="N93" s="567"/>
      <c r="O93" s="567"/>
      <c r="P93" s="567"/>
    </row>
    <row r="94" spans="1:16" ht="12.75" customHeight="1" x14ac:dyDescent="0.25">
      <c r="A94" s="139" t="s">
        <v>16</v>
      </c>
      <c r="B94" s="108"/>
      <c r="C94" s="108"/>
      <c r="D94" s="108"/>
      <c r="E94" s="108"/>
      <c r="F94" s="108"/>
      <c r="G94" s="108"/>
      <c r="H94" s="108"/>
      <c r="I94" s="108"/>
      <c r="J94" s="108"/>
      <c r="K94" s="108"/>
      <c r="L94" s="108"/>
      <c r="M94" s="108"/>
      <c r="N94" s="108"/>
      <c r="O94" s="108"/>
      <c r="P94" s="108"/>
    </row>
    <row r="95" spans="1:16" ht="12.75" customHeight="1" x14ac:dyDescent="0.25">
      <c r="A95" s="139" t="s">
        <v>37</v>
      </c>
      <c r="B95" s="108"/>
      <c r="C95" s="108"/>
      <c r="D95" s="108"/>
      <c r="E95" s="108"/>
      <c r="F95" s="108"/>
      <c r="G95" s="108"/>
      <c r="H95" s="108"/>
      <c r="I95" s="108"/>
      <c r="J95" s="108"/>
      <c r="K95" s="108"/>
      <c r="L95" s="108"/>
      <c r="M95" s="108"/>
      <c r="N95" s="108"/>
      <c r="O95" s="108"/>
      <c r="P95" s="108"/>
    </row>
    <row r="96" spans="1:16" ht="12.75" customHeight="1" x14ac:dyDescent="0.25">
      <c r="A96" s="77" t="s">
        <v>57</v>
      </c>
      <c r="B96" s="108"/>
      <c r="C96" s="108"/>
      <c r="D96" s="256"/>
      <c r="E96" s="108"/>
      <c r="F96" s="108"/>
      <c r="G96" s="108"/>
      <c r="H96" s="108"/>
      <c r="I96" s="108"/>
      <c r="J96" s="108"/>
      <c r="K96" s="108"/>
      <c r="L96" s="108"/>
      <c r="M96" s="108"/>
      <c r="N96" s="108"/>
      <c r="O96" s="108"/>
      <c r="P96" s="108"/>
    </row>
    <row r="97" spans="1:16" ht="12.75" customHeight="1" thickBot="1" x14ac:dyDescent="0.3">
      <c r="A97" s="78" t="s">
        <v>428</v>
      </c>
      <c r="B97" s="115"/>
      <c r="C97" s="115"/>
      <c r="D97" s="115"/>
      <c r="E97" s="115"/>
      <c r="F97" s="115"/>
      <c r="G97" s="115"/>
      <c r="H97" s="115"/>
      <c r="I97" s="115"/>
      <c r="J97" s="115"/>
      <c r="K97" s="115"/>
      <c r="L97" s="115"/>
      <c r="M97" s="115"/>
      <c r="N97" s="115"/>
      <c r="O97" s="115"/>
      <c r="P97" s="115"/>
    </row>
    <row r="98" spans="1:16" ht="12.75" customHeight="1" x14ac:dyDescent="0.25">
      <c r="A98" s="646" t="s">
        <v>215</v>
      </c>
      <c r="B98" s="646"/>
      <c r="C98" s="646"/>
      <c r="D98" s="242"/>
      <c r="E98" s="281">
        <f>Sum!E$5</f>
        <v>2023</v>
      </c>
      <c r="F98" s="281">
        <f>Sum!F$5</f>
        <v>2024</v>
      </c>
      <c r="G98" s="282">
        <f>Sum!G$5</f>
        <v>2025</v>
      </c>
      <c r="H98" s="281">
        <f>Sum!H$5</f>
        <v>2026</v>
      </c>
      <c r="I98" s="281">
        <f>Sum!I$5</f>
        <v>2027</v>
      </c>
      <c r="J98" s="281">
        <f>Sum!J$5</f>
        <v>2028</v>
      </c>
      <c r="K98" s="281">
        <f>Sum!K$5</f>
        <v>2029</v>
      </c>
      <c r="L98" s="281">
        <f>Sum!L$5</f>
        <v>2030</v>
      </c>
      <c r="M98" s="281">
        <f>Sum!M$5</f>
        <v>2031</v>
      </c>
      <c r="N98" s="281">
        <f>Sum!N$5</f>
        <v>2032</v>
      </c>
      <c r="O98" s="281">
        <f>Sum!O$5</f>
        <v>2033</v>
      </c>
      <c r="P98" s="281">
        <f>Sum!P$5</f>
        <v>2034</v>
      </c>
    </row>
    <row r="99" spans="1:16" ht="12.75" customHeight="1" x14ac:dyDescent="0.25">
      <c r="A99" s="108"/>
      <c r="B99" s="108"/>
      <c r="C99" s="108"/>
      <c r="D99" s="108"/>
      <c r="E99" s="108"/>
      <c r="F99" s="108"/>
      <c r="G99" s="255"/>
      <c r="H99" s="108"/>
      <c r="I99" s="108"/>
      <c r="J99" s="108"/>
      <c r="K99" s="108"/>
      <c r="L99" s="108"/>
      <c r="M99" s="108"/>
      <c r="N99" s="108"/>
      <c r="O99" s="108"/>
      <c r="P99" s="108"/>
    </row>
    <row r="100" spans="1:16" ht="12.75" customHeight="1" x14ac:dyDescent="0.25">
      <c r="A100" s="139" t="s">
        <v>324</v>
      </c>
      <c r="B100" s="108"/>
      <c r="C100" s="108"/>
      <c r="D100" s="108"/>
      <c r="E100" s="579"/>
      <c r="F100" s="579"/>
      <c r="G100" s="580"/>
      <c r="H100" s="579"/>
      <c r="I100" s="579"/>
      <c r="J100" s="579"/>
      <c r="K100" s="579"/>
      <c r="L100" s="579"/>
      <c r="M100" s="579"/>
      <c r="N100" s="579"/>
      <c r="O100" s="579"/>
      <c r="P100" s="579"/>
    </row>
    <row r="101" spans="1:16" ht="12.75" customHeight="1" x14ac:dyDescent="0.25">
      <c r="A101" s="432" t="s">
        <v>385</v>
      </c>
      <c r="B101" s="108"/>
      <c r="C101" s="108"/>
      <c r="D101" s="108"/>
      <c r="E101" s="579">
        <f>(E26*$S26)+(E44*$S44)</f>
        <v>942421</v>
      </c>
      <c r="F101" s="579">
        <f t="shared" ref="F101:P101" si="92">(F26*$S26)+(F44*$S44)</f>
        <v>863318</v>
      </c>
      <c r="G101" s="580">
        <f t="shared" si="92"/>
        <v>1012700</v>
      </c>
      <c r="H101" s="579">
        <f t="shared" si="92"/>
        <v>1043081</v>
      </c>
      <c r="I101" s="579">
        <f t="shared" si="92"/>
        <v>1074373.43</v>
      </c>
      <c r="J101" s="579">
        <f t="shared" si="92"/>
        <v>1106604.6328999999</v>
      </c>
      <c r="K101" s="579">
        <f t="shared" si="92"/>
        <v>1139802.771887</v>
      </c>
      <c r="L101" s="579">
        <f t="shared" si="92"/>
        <v>1173996.8550436101</v>
      </c>
      <c r="M101" s="579">
        <f t="shared" si="92"/>
        <v>1209216.7606949185</v>
      </c>
      <c r="N101" s="579">
        <f t="shared" si="92"/>
        <v>1245493.263515766</v>
      </c>
      <c r="O101" s="579">
        <f t="shared" si="92"/>
        <v>1282858.0614212391</v>
      </c>
      <c r="P101" s="579">
        <f t="shared" si="92"/>
        <v>1321343.8032638764</v>
      </c>
    </row>
    <row r="102" spans="1:16" ht="12.75" customHeight="1" x14ac:dyDescent="0.25">
      <c r="A102" s="432" t="s">
        <v>386</v>
      </c>
      <c r="B102" s="108"/>
      <c r="C102" s="108"/>
      <c r="D102" s="108"/>
      <c r="E102" s="579">
        <f t="shared" ref="E102:P102" si="93">(E27*$S27)+(E45*$S45)</f>
        <v>1028420</v>
      </c>
      <c r="F102" s="579">
        <f t="shared" si="93"/>
        <v>1176289</v>
      </c>
      <c r="G102" s="580">
        <f t="shared" si="93"/>
        <v>1186900</v>
      </c>
      <c r="H102" s="579">
        <f t="shared" si="93"/>
        <v>1222507</v>
      </c>
      <c r="I102" s="579">
        <f t="shared" si="93"/>
        <v>1259182.21</v>
      </c>
      <c r="J102" s="579">
        <f t="shared" si="93"/>
        <v>1296957.6762999999</v>
      </c>
      <c r="K102" s="579">
        <f t="shared" si="93"/>
        <v>1335866.406589</v>
      </c>
      <c r="L102" s="579">
        <f t="shared" si="93"/>
        <v>1375942.3987866701</v>
      </c>
      <c r="M102" s="579">
        <f t="shared" si="93"/>
        <v>1417220.6707502701</v>
      </c>
      <c r="N102" s="579">
        <f t="shared" si="93"/>
        <v>1459737.2908727783</v>
      </c>
      <c r="O102" s="579">
        <f t="shared" si="93"/>
        <v>1503529.4095989617</v>
      </c>
      <c r="P102" s="579">
        <f t="shared" si="93"/>
        <v>1548635.2918869306</v>
      </c>
    </row>
    <row r="103" spans="1:16" ht="12.75" customHeight="1" x14ac:dyDescent="0.25">
      <c r="A103" s="432" t="s">
        <v>299</v>
      </c>
      <c r="B103" s="108"/>
      <c r="C103" s="108"/>
      <c r="D103" s="108"/>
      <c r="E103" s="579">
        <f t="shared" ref="E103:P103" si="94">(E28*$S28)+(E46*$S46)</f>
        <v>0</v>
      </c>
      <c r="F103" s="579">
        <f t="shared" si="94"/>
        <v>0</v>
      </c>
      <c r="G103" s="580">
        <f t="shared" si="94"/>
        <v>0</v>
      </c>
      <c r="H103" s="579">
        <f t="shared" si="94"/>
        <v>0</v>
      </c>
      <c r="I103" s="579">
        <f t="shared" si="94"/>
        <v>0</v>
      </c>
      <c r="J103" s="579">
        <f t="shared" si="94"/>
        <v>0</v>
      </c>
      <c r="K103" s="579">
        <f t="shared" si="94"/>
        <v>0</v>
      </c>
      <c r="L103" s="579">
        <f t="shared" si="94"/>
        <v>0</v>
      </c>
      <c r="M103" s="579">
        <f t="shared" si="94"/>
        <v>0</v>
      </c>
      <c r="N103" s="579">
        <f t="shared" si="94"/>
        <v>0</v>
      </c>
      <c r="O103" s="579">
        <f t="shared" si="94"/>
        <v>0</v>
      </c>
      <c r="P103" s="579">
        <f t="shared" si="94"/>
        <v>0</v>
      </c>
    </row>
    <row r="104" spans="1:16" ht="12.75" customHeight="1" x14ac:dyDescent="0.25">
      <c r="A104" s="432" t="s">
        <v>299</v>
      </c>
      <c r="B104" s="108"/>
      <c r="C104" s="108"/>
      <c r="D104" s="108"/>
      <c r="E104" s="579">
        <f t="shared" ref="E104:P104" si="95">(E29*$S29)+(E47*$S47)</f>
        <v>0</v>
      </c>
      <c r="F104" s="579">
        <f t="shared" si="95"/>
        <v>0</v>
      </c>
      <c r="G104" s="580">
        <f t="shared" si="95"/>
        <v>0</v>
      </c>
      <c r="H104" s="579">
        <f t="shared" si="95"/>
        <v>0</v>
      </c>
      <c r="I104" s="579">
        <f t="shared" si="95"/>
        <v>0</v>
      </c>
      <c r="J104" s="579">
        <f t="shared" si="95"/>
        <v>0</v>
      </c>
      <c r="K104" s="579">
        <f t="shared" si="95"/>
        <v>0</v>
      </c>
      <c r="L104" s="579">
        <f t="shared" si="95"/>
        <v>0</v>
      </c>
      <c r="M104" s="579">
        <f t="shared" si="95"/>
        <v>0</v>
      </c>
      <c r="N104" s="579">
        <f t="shared" si="95"/>
        <v>0</v>
      </c>
      <c r="O104" s="579">
        <f t="shared" si="95"/>
        <v>0</v>
      </c>
      <c r="P104" s="579">
        <f t="shared" si="95"/>
        <v>0</v>
      </c>
    </row>
    <row r="105" spans="1:16" ht="12.75" customHeight="1" x14ac:dyDescent="0.25">
      <c r="A105" s="432" t="s">
        <v>299</v>
      </c>
      <c r="B105" s="108"/>
      <c r="C105" s="108"/>
      <c r="D105" s="108"/>
      <c r="E105" s="579">
        <f t="shared" ref="E105:P105" si="96">(E30*$S30)+(E48*$S48)</f>
        <v>0</v>
      </c>
      <c r="F105" s="579">
        <f t="shared" si="96"/>
        <v>0</v>
      </c>
      <c r="G105" s="580">
        <f t="shared" si="96"/>
        <v>0</v>
      </c>
      <c r="H105" s="579">
        <f t="shared" si="96"/>
        <v>0</v>
      </c>
      <c r="I105" s="579">
        <f t="shared" si="96"/>
        <v>0</v>
      </c>
      <c r="J105" s="579">
        <f t="shared" si="96"/>
        <v>0</v>
      </c>
      <c r="K105" s="579">
        <f t="shared" si="96"/>
        <v>0</v>
      </c>
      <c r="L105" s="579">
        <f t="shared" si="96"/>
        <v>0</v>
      </c>
      <c r="M105" s="579">
        <f t="shared" si="96"/>
        <v>0</v>
      </c>
      <c r="N105" s="579">
        <f t="shared" si="96"/>
        <v>0</v>
      </c>
      <c r="O105" s="579">
        <f t="shared" si="96"/>
        <v>0</v>
      </c>
      <c r="P105" s="579">
        <f t="shared" si="96"/>
        <v>0</v>
      </c>
    </row>
    <row r="106" spans="1:16" ht="12.75" customHeight="1" x14ac:dyDescent="0.25">
      <c r="A106" s="432" t="s">
        <v>299</v>
      </c>
      <c r="B106" s="108"/>
      <c r="C106" s="108"/>
      <c r="D106" s="108"/>
      <c r="E106" s="579">
        <f t="shared" ref="E106:P106" si="97">(E31*$S31)+(E49*$S49)</f>
        <v>0</v>
      </c>
      <c r="F106" s="579">
        <f t="shared" si="97"/>
        <v>0</v>
      </c>
      <c r="G106" s="580">
        <f t="shared" si="97"/>
        <v>0</v>
      </c>
      <c r="H106" s="579">
        <f t="shared" si="97"/>
        <v>0</v>
      </c>
      <c r="I106" s="579">
        <f t="shared" si="97"/>
        <v>0</v>
      </c>
      <c r="J106" s="579">
        <f t="shared" si="97"/>
        <v>0</v>
      </c>
      <c r="K106" s="579">
        <f t="shared" si="97"/>
        <v>0</v>
      </c>
      <c r="L106" s="579">
        <f t="shared" si="97"/>
        <v>0</v>
      </c>
      <c r="M106" s="579">
        <f t="shared" si="97"/>
        <v>0</v>
      </c>
      <c r="N106" s="579">
        <f t="shared" si="97"/>
        <v>0</v>
      </c>
      <c r="O106" s="579">
        <f t="shared" si="97"/>
        <v>0</v>
      </c>
      <c r="P106" s="579">
        <f t="shared" si="97"/>
        <v>0</v>
      </c>
    </row>
    <row r="107" spans="1:16" ht="12.75" customHeight="1" x14ac:dyDescent="0.25">
      <c r="A107" s="432" t="s">
        <v>299</v>
      </c>
      <c r="B107" s="108"/>
      <c r="C107" s="108"/>
      <c r="D107" s="108"/>
      <c r="E107" s="579">
        <f t="shared" ref="E107:P107" si="98">(E32*$S32)+(E50*$S50)</f>
        <v>0</v>
      </c>
      <c r="F107" s="579">
        <f t="shared" si="98"/>
        <v>0</v>
      </c>
      <c r="G107" s="580">
        <f t="shared" si="98"/>
        <v>0</v>
      </c>
      <c r="H107" s="579">
        <f t="shared" si="98"/>
        <v>0</v>
      </c>
      <c r="I107" s="579">
        <f t="shared" si="98"/>
        <v>0</v>
      </c>
      <c r="J107" s="579">
        <f t="shared" si="98"/>
        <v>0</v>
      </c>
      <c r="K107" s="579">
        <f t="shared" si="98"/>
        <v>0</v>
      </c>
      <c r="L107" s="579">
        <f t="shared" si="98"/>
        <v>0</v>
      </c>
      <c r="M107" s="579">
        <f t="shared" si="98"/>
        <v>0</v>
      </c>
      <c r="N107" s="579">
        <f t="shared" si="98"/>
        <v>0</v>
      </c>
      <c r="O107" s="579">
        <f t="shared" si="98"/>
        <v>0</v>
      </c>
      <c r="P107" s="579">
        <f t="shared" si="98"/>
        <v>0</v>
      </c>
    </row>
    <row r="108" spans="1:16" ht="12.75" customHeight="1" x14ac:dyDescent="0.25">
      <c r="A108" s="432" t="s">
        <v>299</v>
      </c>
      <c r="B108" s="108"/>
      <c r="C108" s="108"/>
      <c r="D108" s="108"/>
      <c r="E108" s="579">
        <f t="shared" ref="E108:P108" si="99">(E33*$S33)+(E51*$S51)</f>
        <v>0</v>
      </c>
      <c r="F108" s="579">
        <f t="shared" si="99"/>
        <v>0</v>
      </c>
      <c r="G108" s="580">
        <f t="shared" si="99"/>
        <v>0</v>
      </c>
      <c r="H108" s="579">
        <f t="shared" si="99"/>
        <v>0</v>
      </c>
      <c r="I108" s="579">
        <f t="shared" si="99"/>
        <v>0</v>
      </c>
      <c r="J108" s="579">
        <f t="shared" si="99"/>
        <v>0</v>
      </c>
      <c r="K108" s="579">
        <f t="shared" si="99"/>
        <v>0</v>
      </c>
      <c r="L108" s="579">
        <f t="shared" si="99"/>
        <v>0</v>
      </c>
      <c r="M108" s="579">
        <f t="shared" si="99"/>
        <v>0</v>
      </c>
      <c r="N108" s="579">
        <f t="shared" si="99"/>
        <v>0</v>
      </c>
      <c r="O108" s="579">
        <f t="shared" si="99"/>
        <v>0</v>
      </c>
      <c r="P108" s="579">
        <f t="shared" si="99"/>
        <v>0</v>
      </c>
    </row>
    <row r="109" spans="1:16" ht="12.75" customHeight="1" x14ac:dyDescent="0.25">
      <c r="A109" s="432" t="s">
        <v>299</v>
      </c>
      <c r="B109" s="108"/>
      <c r="C109" s="108"/>
      <c r="D109" s="108"/>
      <c r="E109" s="579">
        <f t="shared" ref="E109:P109" si="100">(E34*$S34)+(E52*$S52)</f>
        <v>0</v>
      </c>
      <c r="F109" s="579">
        <f t="shared" si="100"/>
        <v>0</v>
      </c>
      <c r="G109" s="580">
        <f t="shared" si="100"/>
        <v>0</v>
      </c>
      <c r="H109" s="579">
        <f t="shared" si="100"/>
        <v>0</v>
      </c>
      <c r="I109" s="579">
        <f t="shared" si="100"/>
        <v>0</v>
      </c>
      <c r="J109" s="579">
        <f t="shared" si="100"/>
        <v>0</v>
      </c>
      <c r="K109" s="579">
        <f t="shared" si="100"/>
        <v>0</v>
      </c>
      <c r="L109" s="579">
        <f t="shared" si="100"/>
        <v>0</v>
      </c>
      <c r="M109" s="579">
        <f t="shared" si="100"/>
        <v>0</v>
      </c>
      <c r="N109" s="579">
        <f t="shared" si="100"/>
        <v>0</v>
      </c>
      <c r="O109" s="579">
        <f t="shared" si="100"/>
        <v>0</v>
      </c>
      <c r="P109" s="579">
        <f t="shared" si="100"/>
        <v>0</v>
      </c>
    </row>
    <row r="110" spans="1:16" ht="12.75" customHeight="1" x14ac:dyDescent="0.25">
      <c r="A110" s="432" t="s">
        <v>299</v>
      </c>
      <c r="B110" s="108"/>
      <c r="C110" s="108"/>
      <c r="D110" s="108"/>
      <c r="E110" s="579">
        <f t="shared" ref="E110:P110" si="101">(E35*$S35)+(E53*$S53)</f>
        <v>0</v>
      </c>
      <c r="F110" s="579">
        <f t="shared" si="101"/>
        <v>0</v>
      </c>
      <c r="G110" s="580">
        <f t="shared" si="101"/>
        <v>0</v>
      </c>
      <c r="H110" s="579">
        <f t="shared" si="101"/>
        <v>0</v>
      </c>
      <c r="I110" s="579">
        <f t="shared" si="101"/>
        <v>0</v>
      </c>
      <c r="J110" s="579">
        <f t="shared" si="101"/>
        <v>0</v>
      </c>
      <c r="K110" s="579">
        <f t="shared" si="101"/>
        <v>0</v>
      </c>
      <c r="L110" s="579">
        <f t="shared" si="101"/>
        <v>0</v>
      </c>
      <c r="M110" s="579">
        <f t="shared" si="101"/>
        <v>0</v>
      </c>
      <c r="N110" s="579">
        <f t="shared" si="101"/>
        <v>0</v>
      </c>
      <c r="O110" s="579">
        <f t="shared" si="101"/>
        <v>0</v>
      </c>
      <c r="P110" s="579">
        <f t="shared" si="101"/>
        <v>0</v>
      </c>
    </row>
    <row r="111" spans="1:16" ht="12.75" customHeight="1" x14ac:dyDescent="0.25">
      <c r="A111" s="432" t="s">
        <v>299</v>
      </c>
      <c r="B111" s="108"/>
      <c r="C111" s="108"/>
      <c r="D111" s="108"/>
      <c r="E111" s="579">
        <f t="shared" ref="E111:P111" si="102">(E36*$S36)+(E54*$S54)</f>
        <v>0</v>
      </c>
      <c r="F111" s="579">
        <f t="shared" si="102"/>
        <v>0</v>
      </c>
      <c r="G111" s="580">
        <f t="shared" si="102"/>
        <v>0</v>
      </c>
      <c r="H111" s="579">
        <f t="shared" si="102"/>
        <v>0</v>
      </c>
      <c r="I111" s="579">
        <f t="shared" si="102"/>
        <v>0</v>
      </c>
      <c r="J111" s="579">
        <f t="shared" si="102"/>
        <v>0</v>
      </c>
      <c r="K111" s="579">
        <f t="shared" si="102"/>
        <v>0</v>
      </c>
      <c r="L111" s="579">
        <f t="shared" si="102"/>
        <v>0</v>
      </c>
      <c r="M111" s="579">
        <f t="shared" si="102"/>
        <v>0</v>
      </c>
      <c r="N111" s="579">
        <f t="shared" si="102"/>
        <v>0</v>
      </c>
      <c r="O111" s="579">
        <f t="shared" si="102"/>
        <v>0</v>
      </c>
      <c r="P111" s="579">
        <f t="shared" si="102"/>
        <v>0</v>
      </c>
    </row>
    <row r="112" spans="1:16" ht="12.75" customHeight="1" x14ac:dyDescent="0.25">
      <c r="A112" s="432" t="s">
        <v>299</v>
      </c>
      <c r="B112" s="108"/>
      <c r="C112" s="108"/>
      <c r="D112" s="108"/>
      <c r="E112" s="579">
        <f t="shared" ref="E112:P112" si="103">(E37*$S37)+(E55*$S55)</f>
        <v>0</v>
      </c>
      <c r="F112" s="579">
        <f t="shared" si="103"/>
        <v>0</v>
      </c>
      <c r="G112" s="580">
        <f t="shared" si="103"/>
        <v>0</v>
      </c>
      <c r="H112" s="579">
        <f t="shared" si="103"/>
        <v>0</v>
      </c>
      <c r="I112" s="579">
        <f t="shared" si="103"/>
        <v>0</v>
      </c>
      <c r="J112" s="579">
        <f t="shared" si="103"/>
        <v>0</v>
      </c>
      <c r="K112" s="579">
        <f t="shared" si="103"/>
        <v>0</v>
      </c>
      <c r="L112" s="579">
        <f t="shared" si="103"/>
        <v>0</v>
      </c>
      <c r="M112" s="579">
        <f t="shared" si="103"/>
        <v>0</v>
      </c>
      <c r="N112" s="579">
        <f t="shared" si="103"/>
        <v>0</v>
      </c>
      <c r="O112" s="579">
        <f t="shared" si="103"/>
        <v>0</v>
      </c>
      <c r="P112" s="579">
        <f t="shared" si="103"/>
        <v>0</v>
      </c>
    </row>
    <row r="113" spans="1:16" ht="12.75" customHeight="1" x14ac:dyDescent="0.25">
      <c r="A113" s="432" t="s">
        <v>348</v>
      </c>
      <c r="B113" s="108"/>
      <c r="C113" s="108"/>
      <c r="D113" s="108"/>
      <c r="E113" s="579">
        <f>(E8*$S8)+(E9*$S9)+(E10*$S10)+(E11*$S11)+(E12*$S12)+(E13*$S13)+(E14*$S14)+(E15*$S15)+(E16*$S16)+(E17*$S17)+(E18*$S18)+(E19*$S19)+(E20*$S20)+(E21*$S21)+(E22*$S22)</f>
        <v>344092</v>
      </c>
      <c r="F113" s="579">
        <f t="shared" ref="F113:P113" si="104">(F8*$S8)+(F9*$S9)+(F10*$S10)+(F11*$S11)+(F12*$S12)+(F13*$S13)+(F14*$S14)+(F15*$S15)+(F16*$S16)+(F17*$S17)+(F18*$S18)+(F19*$S19)+(F20*$S20)+(F21*$S21)+(F22*$S22)</f>
        <v>303603</v>
      </c>
      <c r="G113" s="580">
        <f t="shared" si="104"/>
        <v>394700</v>
      </c>
      <c r="H113" s="579">
        <f t="shared" si="104"/>
        <v>406541</v>
      </c>
      <c r="I113" s="579">
        <f t="shared" si="104"/>
        <v>418737.23</v>
      </c>
      <c r="J113" s="579">
        <f t="shared" si="104"/>
        <v>431299.3469</v>
      </c>
      <c r="K113" s="579">
        <f t="shared" si="104"/>
        <v>444238.327307</v>
      </c>
      <c r="L113" s="579">
        <f t="shared" si="104"/>
        <v>457565.47712621005</v>
      </c>
      <c r="M113" s="579">
        <f t="shared" si="104"/>
        <v>471292.44143999636</v>
      </c>
      <c r="N113" s="579">
        <f t="shared" si="104"/>
        <v>485431.21468319627</v>
      </c>
      <c r="O113" s="579">
        <f t="shared" si="104"/>
        <v>499994.15112369222</v>
      </c>
      <c r="P113" s="579">
        <f t="shared" si="104"/>
        <v>514993.97565740295</v>
      </c>
    </row>
    <row r="114" spans="1:16" ht="12.75" customHeight="1" x14ac:dyDescent="0.25">
      <c r="A114" s="432" t="s">
        <v>347</v>
      </c>
      <c r="B114" s="108"/>
      <c r="C114" s="108"/>
      <c r="D114" s="108"/>
      <c r="E114" s="579">
        <f>E56</f>
        <v>0</v>
      </c>
      <c r="F114" s="579">
        <f t="shared" ref="F114:P114" si="105">F56</f>
        <v>0</v>
      </c>
      <c r="G114" s="580">
        <f t="shared" si="105"/>
        <v>73562.621518</v>
      </c>
      <c r="H114" s="579">
        <f t="shared" si="105"/>
        <v>73562.621518</v>
      </c>
      <c r="I114" s="579">
        <f t="shared" si="105"/>
        <v>73562.621518</v>
      </c>
      <c r="J114" s="579">
        <f t="shared" si="105"/>
        <v>73562.621518</v>
      </c>
      <c r="K114" s="579">
        <f t="shared" si="105"/>
        <v>73562.621518</v>
      </c>
      <c r="L114" s="579">
        <f t="shared" si="105"/>
        <v>73562.621518</v>
      </c>
      <c r="M114" s="579">
        <f t="shared" si="105"/>
        <v>73562.621518</v>
      </c>
      <c r="N114" s="579">
        <f t="shared" si="105"/>
        <v>73562.621518</v>
      </c>
      <c r="O114" s="579">
        <f t="shared" si="105"/>
        <v>73562.621518</v>
      </c>
      <c r="P114" s="579">
        <f t="shared" si="105"/>
        <v>73562.621518</v>
      </c>
    </row>
    <row r="115" spans="1:16" ht="12.75" customHeight="1" x14ac:dyDescent="0.25">
      <c r="A115" s="432" t="s">
        <v>305</v>
      </c>
      <c r="B115" s="108"/>
      <c r="C115" s="108"/>
      <c r="D115" s="108"/>
      <c r="E115" s="579">
        <f t="shared" ref="E115:P115" si="106">E57</f>
        <v>57679.98</v>
      </c>
      <c r="F115" s="579">
        <f t="shared" si="106"/>
        <v>61620</v>
      </c>
      <c r="G115" s="580">
        <f t="shared" si="106"/>
        <v>61621.25</v>
      </c>
      <c r="H115" s="579">
        <f t="shared" si="106"/>
        <v>61617.75</v>
      </c>
      <c r="I115" s="579">
        <f t="shared" si="106"/>
        <v>111813.61741198001</v>
      </c>
      <c r="J115" s="579">
        <f t="shared" si="106"/>
        <v>162004.73482396003</v>
      </c>
      <c r="K115" s="579">
        <f t="shared" si="106"/>
        <v>161986.98482396003</v>
      </c>
      <c r="L115" s="579">
        <f t="shared" si="106"/>
        <v>161964.48482396003</v>
      </c>
      <c r="M115" s="579">
        <f t="shared" si="106"/>
        <v>161937.23482396003</v>
      </c>
      <c r="N115" s="579">
        <f t="shared" si="106"/>
        <v>161905.23482396003</v>
      </c>
      <c r="O115" s="579">
        <f t="shared" si="106"/>
        <v>161868.48482396003</v>
      </c>
      <c r="P115" s="579">
        <f t="shared" si="106"/>
        <v>161826.98482396003</v>
      </c>
    </row>
    <row r="116" spans="1:16" ht="12.75" customHeight="1" x14ac:dyDescent="0.25">
      <c r="A116" s="560" t="s">
        <v>325</v>
      </c>
      <c r="B116" s="136"/>
      <c r="C116" s="136"/>
      <c r="D116" s="136"/>
      <c r="E116" s="563">
        <f t="shared" ref="E116:P116" si="107">E58</f>
        <v>0</v>
      </c>
      <c r="F116" s="563">
        <f t="shared" si="107"/>
        <v>0</v>
      </c>
      <c r="G116" s="600">
        <f t="shared" si="107"/>
        <v>0</v>
      </c>
      <c r="H116" s="563">
        <f t="shared" si="107"/>
        <v>1425000</v>
      </c>
      <c r="I116" s="563">
        <f t="shared" si="107"/>
        <v>375000</v>
      </c>
      <c r="J116" s="563">
        <f t="shared" si="107"/>
        <v>675000</v>
      </c>
      <c r="K116" s="563">
        <f t="shared" si="107"/>
        <v>25000</v>
      </c>
      <c r="L116" s="563">
        <f t="shared" si="107"/>
        <v>25000</v>
      </c>
      <c r="M116" s="563">
        <f t="shared" si="107"/>
        <v>25000</v>
      </c>
      <c r="N116" s="563">
        <f t="shared" si="107"/>
        <v>25000</v>
      </c>
      <c r="O116" s="563">
        <f t="shared" si="107"/>
        <v>25000</v>
      </c>
      <c r="P116" s="563">
        <f t="shared" si="107"/>
        <v>25000</v>
      </c>
    </row>
    <row r="117" spans="1:16" ht="12.75" customHeight="1" x14ac:dyDescent="0.25">
      <c r="A117" s="108"/>
      <c r="B117" s="108"/>
      <c r="C117" s="108"/>
      <c r="D117" s="578" t="s">
        <v>308</v>
      </c>
      <c r="E117" s="581">
        <f>SUM(E101:E116)</f>
        <v>2372612.98</v>
      </c>
      <c r="F117" s="581">
        <f t="shared" ref="F117:I117" si="108">SUM(F101:F116)</f>
        <v>2404830</v>
      </c>
      <c r="G117" s="582">
        <f t="shared" si="108"/>
        <v>2729483.871518</v>
      </c>
      <c r="H117" s="581">
        <f t="shared" si="108"/>
        <v>4232309.371518</v>
      </c>
      <c r="I117" s="581">
        <f t="shared" si="108"/>
        <v>3312669.1089299796</v>
      </c>
      <c r="J117" s="581">
        <f t="shared" ref="J117:P117" si="109">SUM(J101:J116)</f>
        <v>3745429.0124419602</v>
      </c>
      <c r="K117" s="581">
        <f t="shared" si="109"/>
        <v>3180457.1121249599</v>
      </c>
      <c r="L117" s="581">
        <f t="shared" si="109"/>
        <v>3268031.8372984501</v>
      </c>
      <c r="M117" s="581">
        <f t="shared" si="109"/>
        <v>3358229.7292271452</v>
      </c>
      <c r="N117" s="581">
        <f t="shared" si="109"/>
        <v>3451129.6254137009</v>
      </c>
      <c r="O117" s="581">
        <f t="shared" si="109"/>
        <v>3546812.7284858529</v>
      </c>
      <c r="P117" s="581">
        <f t="shared" si="109"/>
        <v>3645362.6771501699</v>
      </c>
    </row>
    <row r="118" spans="1:16" ht="12.75" customHeight="1" thickBot="1" x14ac:dyDescent="0.3">
      <c r="A118" s="115"/>
      <c r="B118" s="115"/>
      <c r="C118" s="115"/>
      <c r="D118" s="585"/>
      <c r="E118" s="115"/>
      <c r="F118" s="115"/>
      <c r="G118" s="262"/>
      <c r="H118" s="115"/>
      <c r="I118" s="115"/>
      <c r="J118" s="115"/>
      <c r="K118" s="115"/>
      <c r="L118" s="115"/>
      <c r="M118" s="115"/>
      <c r="N118" s="115"/>
      <c r="O118" s="115"/>
      <c r="P118" s="115"/>
    </row>
    <row r="119" spans="1:16" ht="12.75" customHeight="1" x14ac:dyDescent="0.25">
      <c r="D119" s="566"/>
      <c r="E119" s="567"/>
      <c r="F119" s="567"/>
      <c r="G119" s="567"/>
      <c r="H119" s="567"/>
      <c r="I119" s="567"/>
      <c r="J119" s="567"/>
      <c r="K119" s="567"/>
      <c r="L119" s="567"/>
      <c r="M119" s="567"/>
      <c r="N119" s="567"/>
      <c r="O119" s="567"/>
      <c r="P119" s="567"/>
    </row>
    <row r="120" spans="1:16" ht="12.75" customHeight="1" x14ac:dyDescent="0.25">
      <c r="D120" s="566"/>
      <c r="E120" s="567"/>
      <c r="F120" s="567"/>
      <c r="G120" s="567"/>
      <c r="H120" s="567"/>
      <c r="I120" s="567"/>
      <c r="J120" s="567"/>
      <c r="K120" s="567"/>
      <c r="L120" s="567"/>
      <c r="M120" s="567"/>
      <c r="N120" s="567"/>
      <c r="O120" s="567"/>
      <c r="P120" s="567"/>
    </row>
    <row r="121" spans="1:16" ht="12.75" customHeight="1" x14ac:dyDescent="0.25">
      <c r="A121" s="139" t="s">
        <v>16</v>
      </c>
      <c r="B121" s="108"/>
      <c r="C121" s="108"/>
      <c r="D121" s="108"/>
      <c r="E121" s="108"/>
      <c r="F121" s="108"/>
      <c r="G121" s="108"/>
      <c r="H121" s="108"/>
      <c r="I121" s="108"/>
      <c r="J121" s="108"/>
      <c r="K121" s="108"/>
      <c r="L121" s="108"/>
      <c r="M121" s="108"/>
      <c r="N121" s="108"/>
      <c r="O121" s="108"/>
      <c r="P121" s="108"/>
    </row>
    <row r="122" spans="1:16" ht="12.75" customHeight="1" x14ac:dyDescent="0.25">
      <c r="A122" s="139" t="s">
        <v>327</v>
      </c>
      <c r="B122" s="108"/>
      <c r="C122" s="108"/>
      <c r="D122" s="108"/>
      <c r="E122" s="108"/>
      <c r="F122" s="108"/>
      <c r="G122" s="108"/>
      <c r="H122" s="108"/>
      <c r="I122" s="108"/>
      <c r="J122" s="108"/>
      <c r="K122" s="108"/>
      <c r="L122" s="108"/>
      <c r="M122" s="108"/>
      <c r="N122" s="108"/>
      <c r="O122" s="108"/>
      <c r="P122" s="108"/>
    </row>
    <row r="123" spans="1:16" ht="12.75" customHeight="1" thickBot="1" x14ac:dyDescent="0.3">
      <c r="A123" s="78" t="s">
        <v>428</v>
      </c>
      <c r="B123" s="115"/>
      <c r="C123" s="115"/>
      <c r="D123" s="115"/>
      <c r="E123" s="115"/>
      <c r="F123" s="115"/>
      <c r="G123" s="115"/>
      <c r="H123" s="115"/>
      <c r="I123" s="115"/>
      <c r="J123" s="115"/>
      <c r="K123" s="115"/>
      <c r="L123" s="115"/>
      <c r="M123" s="115"/>
      <c r="N123" s="115"/>
      <c r="O123" s="115"/>
      <c r="P123" s="115"/>
    </row>
    <row r="124" spans="1:16" ht="12.75" customHeight="1" x14ac:dyDescent="0.25">
      <c r="A124" s="646" t="s">
        <v>215</v>
      </c>
      <c r="B124" s="646"/>
      <c r="C124" s="646"/>
      <c r="D124" s="242"/>
      <c r="E124" s="281">
        <f>Sum!E$5</f>
        <v>2023</v>
      </c>
      <c r="F124" s="281">
        <f>Sum!F$5</f>
        <v>2024</v>
      </c>
      <c r="G124" s="282">
        <f>Sum!G$5</f>
        <v>2025</v>
      </c>
      <c r="H124" s="281">
        <f>Sum!H$5</f>
        <v>2026</v>
      </c>
      <c r="I124" s="281">
        <f>Sum!I$5</f>
        <v>2027</v>
      </c>
      <c r="J124" s="281">
        <f>Sum!J$5</f>
        <v>2028</v>
      </c>
      <c r="K124" s="281">
        <f>Sum!K$5</f>
        <v>2029</v>
      </c>
      <c r="L124" s="281">
        <f>Sum!L$5</f>
        <v>2030</v>
      </c>
      <c r="M124" s="281">
        <f>Sum!M$5</f>
        <v>2031</v>
      </c>
      <c r="N124" s="281">
        <f>Sum!N$5</f>
        <v>2032</v>
      </c>
      <c r="O124" s="281">
        <f>Sum!O$5</f>
        <v>2033</v>
      </c>
      <c r="P124" s="281">
        <f>Sum!P$5</f>
        <v>2034</v>
      </c>
    </row>
    <row r="125" spans="1:16" ht="12.75" customHeight="1" x14ac:dyDescent="0.25">
      <c r="A125" s="108"/>
      <c r="B125" s="108"/>
      <c r="C125" s="108"/>
      <c r="D125" s="108"/>
      <c r="E125" s="108"/>
      <c r="F125" s="108"/>
      <c r="G125" s="255"/>
      <c r="H125" s="108"/>
      <c r="I125" s="108"/>
      <c r="J125" s="108"/>
      <c r="K125" s="108"/>
      <c r="L125" s="108"/>
      <c r="M125" s="108"/>
      <c r="N125" s="108"/>
      <c r="O125" s="108"/>
      <c r="P125" s="108"/>
    </row>
    <row r="126" spans="1:16" ht="12.75" customHeight="1" x14ac:dyDescent="0.25">
      <c r="A126" s="139" t="s">
        <v>321</v>
      </c>
      <c r="B126" s="108"/>
      <c r="C126" s="108"/>
      <c r="D126" s="108"/>
      <c r="E126" s="108"/>
      <c r="F126" s="108"/>
      <c r="G126" s="255"/>
      <c r="H126" s="108"/>
      <c r="I126" s="108"/>
      <c r="J126" s="108"/>
      <c r="K126" s="108"/>
      <c r="L126" s="108"/>
      <c r="M126" s="108"/>
      <c r="N126" s="108"/>
      <c r="O126" s="108"/>
      <c r="P126" s="108"/>
    </row>
    <row r="127" spans="1:16" ht="12.75" customHeight="1" x14ac:dyDescent="0.25">
      <c r="A127" s="432" t="s">
        <v>382</v>
      </c>
      <c r="B127" s="108"/>
      <c r="C127" s="108"/>
      <c r="D127" s="108"/>
      <c r="E127" s="579"/>
      <c r="F127" s="579"/>
      <c r="G127" s="580"/>
      <c r="H127" s="605">
        <v>0.03</v>
      </c>
      <c r="I127" s="590">
        <f>H127</f>
        <v>0.03</v>
      </c>
      <c r="J127" s="590">
        <f t="shared" ref="J127:P127" si="110">I127</f>
        <v>0.03</v>
      </c>
      <c r="K127" s="590">
        <f t="shared" si="110"/>
        <v>0.03</v>
      </c>
      <c r="L127" s="590">
        <f t="shared" si="110"/>
        <v>0.03</v>
      </c>
      <c r="M127" s="590">
        <f t="shared" si="110"/>
        <v>0.03</v>
      </c>
      <c r="N127" s="590">
        <f t="shared" si="110"/>
        <v>0.03</v>
      </c>
      <c r="O127" s="590">
        <f t="shared" si="110"/>
        <v>0.03</v>
      </c>
      <c r="P127" s="590">
        <f t="shared" si="110"/>
        <v>0.03</v>
      </c>
    </row>
    <row r="128" spans="1:16" ht="12.75" customHeight="1" x14ac:dyDescent="0.25">
      <c r="A128" s="432" t="s">
        <v>383</v>
      </c>
      <c r="B128" s="108"/>
      <c r="C128" s="108"/>
      <c r="D128" s="108"/>
      <c r="E128" s="579"/>
      <c r="F128" s="579"/>
      <c r="G128" s="580"/>
      <c r="H128" s="590">
        <f>H127</f>
        <v>0.03</v>
      </c>
      <c r="I128" s="590">
        <f>I127</f>
        <v>0.03</v>
      </c>
      <c r="J128" s="590">
        <f t="shared" ref="J128:P128" si="111">J127</f>
        <v>0.03</v>
      </c>
      <c r="K128" s="590">
        <f t="shared" si="111"/>
        <v>0.03</v>
      </c>
      <c r="L128" s="590">
        <f t="shared" si="111"/>
        <v>0.03</v>
      </c>
      <c r="M128" s="590">
        <f t="shared" si="111"/>
        <v>0.03</v>
      </c>
      <c r="N128" s="590">
        <f t="shared" si="111"/>
        <v>0.03</v>
      </c>
      <c r="O128" s="590">
        <f t="shared" si="111"/>
        <v>0.03</v>
      </c>
      <c r="P128" s="590">
        <f t="shared" si="111"/>
        <v>0.03</v>
      </c>
    </row>
    <row r="129" spans="1:16" ht="12.75" customHeight="1" x14ac:dyDescent="0.25">
      <c r="A129" s="432"/>
      <c r="B129" s="108"/>
      <c r="C129" s="108"/>
      <c r="D129" s="108"/>
      <c r="E129" s="579"/>
      <c r="F129" s="579"/>
      <c r="G129" s="580"/>
      <c r="H129" s="590">
        <f t="shared" ref="H129:P136" si="112">H128</f>
        <v>0.03</v>
      </c>
      <c r="I129" s="590">
        <f t="shared" ref="I129:P136" si="113">I128</f>
        <v>0.03</v>
      </c>
      <c r="J129" s="590">
        <f t="shared" si="113"/>
        <v>0.03</v>
      </c>
      <c r="K129" s="590">
        <f t="shared" si="113"/>
        <v>0.03</v>
      </c>
      <c r="L129" s="590">
        <f t="shared" si="113"/>
        <v>0.03</v>
      </c>
      <c r="M129" s="590">
        <f t="shared" si="113"/>
        <v>0.03</v>
      </c>
      <c r="N129" s="590">
        <f t="shared" si="113"/>
        <v>0.03</v>
      </c>
      <c r="O129" s="590">
        <f t="shared" si="113"/>
        <v>0.03</v>
      </c>
      <c r="P129" s="590">
        <f t="shared" si="113"/>
        <v>0.03</v>
      </c>
    </row>
    <row r="130" spans="1:16" ht="12.75" customHeight="1" x14ac:dyDescent="0.25">
      <c r="A130" s="432"/>
      <c r="B130" s="108"/>
      <c r="C130" s="108"/>
      <c r="D130" s="108"/>
      <c r="E130" s="579"/>
      <c r="F130" s="579"/>
      <c r="G130" s="580"/>
      <c r="H130" s="590">
        <f t="shared" si="112"/>
        <v>0.03</v>
      </c>
      <c r="I130" s="590">
        <f t="shared" si="112"/>
        <v>0.03</v>
      </c>
      <c r="J130" s="590">
        <f t="shared" si="112"/>
        <v>0.03</v>
      </c>
      <c r="K130" s="590">
        <f t="shared" si="112"/>
        <v>0.03</v>
      </c>
      <c r="L130" s="590">
        <f t="shared" si="112"/>
        <v>0.03</v>
      </c>
      <c r="M130" s="590">
        <f t="shared" si="112"/>
        <v>0.03</v>
      </c>
      <c r="N130" s="590">
        <f t="shared" si="112"/>
        <v>0.03</v>
      </c>
      <c r="O130" s="590">
        <f t="shared" si="112"/>
        <v>0.03</v>
      </c>
      <c r="P130" s="590">
        <f t="shared" si="112"/>
        <v>0.03</v>
      </c>
    </row>
    <row r="131" spans="1:16" ht="12.75" customHeight="1" x14ac:dyDescent="0.25">
      <c r="A131" s="432"/>
      <c r="B131" s="108"/>
      <c r="C131" s="108"/>
      <c r="D131" s="108"/>
      <c r="E131" s="579"/>
      <c r="F131" s="579"/>
      <c r="G131" s="580"/>
      <c r="H131" s="590">
        <f t="shared" si="112"/>
        <v>0.03</v>
      </c>
      <c r="I131" s="590">
        <f t="shared" si="112"/>
        <v>0.03</v>
      </c>
      <c r="J131" s="590">
        <f t="shared" si="112"/>
        <v>0.03</v>
      </c>
      <c r="K131" s="590">
        <f t="shared" si="112"/>
        <v>0.03</v>
      </c>
      <c r="L131" s="590">
        <f t="shared" si="112"/>
        <v>0.03</v>
      </c>
      <c r="M131" s="590">
        <f t="shared" si="112"/>
        <v>0.03</v>
      </c>
      <c r="N131" s="590">
        <f t="shared" si="112"/>
        <v>0.03</v>
      </c>
      <c r="O131" s="590">
        <f t="shared" si="112"/>
        <v>0.03</v>
      </c>
      <c r="P131" s="590">
        <f t="shared" si="112"/>
        <v>0.03</v>
      </c>
    </row>
    <row r="132" spans="1:16" ht="12.75" customHeight="1" x14ac:dyDescent="0.25">
      <c r="A132" s="432"/>
      <c r="B132" s="108"/>
      <c r="C132" s="108"/>
      <c r="D132" s="108"/>
      <c r="E132" s="579"/>
      <c r="F132" s="579"/>
      <c r="G132" s="580"/>
      <c r="H132" s="590">
        <f t="shared" si="112"/>
        <v>0.03</v>
      </c>
      <c r="I132" s="590">
        <f t="shared" si="112"/>
        <v>0.03</v>
      </c>
      <c r="J132" s="590">
        <f t="shared" si="112"/>
        <v>0.03</v>
      </c>
      <c r="K132" s="590">
        <f t="shared" si="112"/>
        <v>0.03</v>
      </c>
      <c r="L132" s="590">
        <f t="shared" si="112"/>
        <v>0.03</v>
      </c>
      <c r="M132" s="590">
        <f t="shared" si="112"/>
        <v>0.03</v>
      </c>
      <c r="N132" s="590">
        <f t="shared" si="112"/>
        <v>0.03</v>
      </c>
      <c r="O132" s="590">
        <f t="shared" si="112"/>
        <v>0.03</v>
      </c>
      <c r="P132" s="590">
        <f t="shared" si="112"/>
        <v>0.03</v>
      </c>
    </row>
    <row r="133" spans="1:16" ht="12.75" customHeight="1" x14ac:dyDescent="0.25">
      <c r="A133" s="432"/>
      <c r="B133" s="108"/>
      <c r="C133" s="108"/>
      <c r="D133" s="108"/>
      <c r="E133" s="579"/>
      <c r="F133" s="579"/>
      <c r="G133" s="580"/>
      <c r="H133" s="590">
        <f t="shared" si="112"/>
        <v>0.03</v>
      </c>
      <c r="I133" s="590">
        <f t="shared" si="112"/>
        <v>0.03</v>
      </c>
      <c r="J133" s="590">
        <f t="shared" si="112"/>
        <v>0.03</v>
      </c>
      <c r="K133" s="590">
        <f t="shared" si="112"/>
        <v>0.03</v>
      </c>
      <c r="L133" s="590">
        <f t="shared" si="112"/>
        <v>0.03</v>
      </c>
      <c r="M133" s="590">
        <f t="shared" si="112"/>
        <v>0.03</v>
      </c>
      <c r="N133" s="590">
        <f t="shared" si="112"/>
        <v>0.03</v>
      </c>
      <c r="O133" s="590">
        <f t="shared" si="112"/>
        <v>0.03</v>
      </c>
      <c r="P133" s="590">
        <f t="shared" si="112"/>
        <v>0.03</v>
      </c>
    </row>
    <row r="134" spans="1:16" ht="12.75" customHeight="1" x14ac:dyDescent="0.25">
      <c r="A134" s="432"/>
      <c r="B134" s="108"/>
      <c r="C134" s="108"/>
      <c r="D134" s="108"/>
      <c r="E134" s="579"/>
      <c r="F134" s="579"/>
      <c r="G134" s="580"/>
      <c r="H134" s="590">
        <f t="shared" si="112"/>
        <v>0.03</v>
      </c>
      <c r="I134" s="590">
        <f t="shared" si="112"/>
        <v>0.03</v>
      </c>
      <c r="J134" s="590">
        <f t="shared" si="112"/>
        <v>0.03</v>
      </c>
      <c r="K134" s="590">
        <f t="shared" si="112"/>
        <v>0.03</v>
      </c>
      <c r="L134" s="590">
        <f t="shared" si="112"/>
        <v>0.03</v>
      </c>
      <c r="M134" s="590">
        <f t="shared" si="112"/>
        <v>0.03</v>
      </c>
      <c r="N134" s="590">
        <f t="shared" si="112"/>
        <v>0.03</v>
      </c>
      <c r="O134" s="590">
        <f t="shared" si="112"/>
        <v>0.03</v>
      </c>
      <c r="P134" s="590">
        <f t="shared" si="112"/>
        <v>0.03</v>
      </c>
    </row>
    <row r="135" spans="1:16" ht="12.75" customHeight="1" x14ac:dyDescent="0.25">
      <c r="A135" s="432"/>
      <c r="B135" s="108"/>
      <c r="C135" s="108"/>
      <c r="D135" s="108"/>
      <c r="E135" s="579"/>
      <c r="F135" s="579"/>
      <c r="G135" s="580"/>
      <c r="H135" s="590">
        <f t="shared" ref="H135:P135" si="114">H129</f>
        <v>0.03</v>
      </c>
      <c r="I135" s="590">
        <f t="shared" si="114"/>
        <v>0.03</v>
      </c>
      <c r="J135" s="590">
        <f t="shared" si="114"/>
        <v>0.03</v>
      </c>
      <c r="K135" s="590">
        <f t="shared" si="114"/>
        <v>0.03</v>
      </c>
      <c r="L135" s="590">
        <f t="shared" si="114"/>
        <v>0.03</v>
      </c>
      <c r="M135" s="590">
        <f t="shared" si="114"/>
        <v>0.03</v>
      </c>
      <c r="N135" s="590">
        <f t="shared" si="114"/>
        <v>0.03</v>
      </c>
      <c r="O135" s="590">
        <f t="shared" si="114"/>
        <v>0.03</v>
      </c>
      <c r="P135" s="590">
        <f t="shared" si="114"/>
        <v>0.03</v>
      </c>
    </row>
    <row r="136" spans="1:16" ht="12.75" customHeight="1" x14ac:dyDescent="0.25">
      <c r="A136" s="432"/>
      <c r="B136" s="108"/>
      <c r="C136" s="108"/>
      <c r="D136" s="108"/>
      <c r="E136" s="579"/>
      <c r="F136" s="579"/>
      <c r="G136" s="580"/>
      <c r="H136" s="590">
        <f t="shared" si="112"/>
        <v>0.03</v>
      </c>
      <c r="I136" s="590">
        <f t="shared" si="113"/>
        <v>0.03</v>
      </c>
      <c r="J136" s="590">
        <f t="shared" si="113"/>
        <v>0.03</v>
      </c>
      <c r="K136" s="590">
        <f t="shared" si="113"/>
        <v>0.03</v>
      </c>
      <c r="L136" s="590">
        <f t="shared" si="113"/>
        <v>0.03</v>
      </c>
      <c r="M136" s="590">
        <f t="shared" si="113"/>
        <v>0.03</v>
      </c>
      <c r="N136" s="590">
        <f t="shared" si="113"/>
        <v>0.03</v>
      </c>
      <c r="O136" s="590">
        <f t="shared" si="113"/>
        <v>0.03</v>
      </c>
      <c r="P136" s="590">
        <f t="shared" si="113"/>
        <v>0.03</v>
      </c>
    </row>
    <row r="137" spans="1:16" ht="12.75" customHeight="1" x14ac:dyDescent="0.25">
      <c r="A137" s="432"/>
      <c r="B137" s="108"/>
      <c r="C137" s="108"/>
      <c r="D137" s="108"/>
      <c r="E137" s="579"/>
      <c r="F137" s="579"/>
      <c r="G137" s="580"/>
      <c r="H137" s="590">
        <f t="shared" ref="H137" si="115">H136</f>
        <v>0.03</v>
      </c>
      <c r="I137" s="590">
        <f t="shared" ref="I137:P137" si="116">I136</f>
        <v>0.03</v>
      </c>
      <c r="J137" s="590">
        <f t="shared" si="116"/>
        <v>0.03</v>
      </c>
      <c r="K137" s="590">
        <f t="shared" si="116"/>
        <v>0.03</v>
      </c>
      <c r="L137" s="590">
        <f t="shared" si="116"/>
        <v>0.03</v>
      </c>
      <c r="M137" s="590">
        <f t="shared" si="116"/>
        <v>0.03</v>
      </c>
      <c r="N137" s="590">
        <f t="shared" si="116"/>
        <v>0.03</v>
      </c>
      <c r="O137" s="590">
        <f t="shared" si="116"/>
        <v>0.03</v>
      </c>
      <c r="P137" s="590">
        <f t="shared" si="116"/>
        <v>0.03</v>
      </c>
    </row>
    <row r="138" spans="1:16" ht="12.75" customHeight="1" x14ac:dyDescent="0.25">
      <c r="A138" s="432"/>
      <c r="B138" s="108"/>
      <c r="C138" s="108"/>
      <c r="D138" s="108"/>
      <c r="E138" s="579"/>
      <c r="F138" s="579"/>
      <c r="G138" s="580"/>
      <c r="H138" s="590">
        <f>H136</f>
        <v>0.03</v>
      </c>
      <c r="I138" s="590">
        <f>I136</f>
        <v>0.03</v>
      </c>
      <c r="J138" s="590">
        <f t="shared" ref="J138:P138" si="117">J136</f>
        <v>0.03</v>
      </c>
      <c r="K138" s="590">
        <f t="shared" si="117"/>
        <v>0.03</v>
      </c>
      <c r="L138" s="590">
        <f t="shared" si="117"/>
        <v>0.03</v>
      </c>
      <c r="M138" s="590">
        <f t="shared" si="117"/>
        <v>0.03</v>
      </c>
      <c r="N138" s="590">
        <f t="shared" si="117"/>
        <v>0.03</v>
      </c>
      <c r="O138" s="590">
        <f t="shared" si="117"/>
        <v>0.03</v>
      </c>
      <c r="P138" s="590">
        <f t="shared" si="117"/>
        <v>0.03</v>
      </c>
    </row>
    <row r="139" spans="1:16" ht="12.75" customHeight="1" x14ac:dyDescent="0.25">
      <c r="A139" s="432"/>
      <c r="B139" s="108"/>
      <c r="C139" s="108"/>
      <c r="D139" s="108"/>
      <c r="E139" s="579"/>
      <c r="F139" s="579"/>
      <c r="G139" s="580"/>
      <c r="H139" s="590">
        <v>0</v>
      </c>
      <c r="I139" s="590">
        <v>0</v>
      </c>
      <c r="J139" s="590">
        <v>0</v>
      </c>
      <c r="K139" s="590">
        <v>0</v>
      </c>
      <c r="L139" s="590">
        <v>0</v>
      </c>
      <c r="M139" s="590">
        <v>0</v>
      </c>
      <c r="N139" s="590">
        <v>0</v>
      </c>
      <c r="O139" s="590">
        <v>0</v>
      </c>
      <c r="P139" s="590">
        <v>0</v>
      </c>
    </row>
    <row r="140" spans="1:16" ht="12.75" customHeight="1" x14ac:dyDescent="0.25">
      <c r="A140" s="432" t="s">
        <v>305</v>
      </c>
      <c r="B140" s="108"/>
      <c r="C140" s="108"/>
      <c r="D140" s="108"/>
      <c r="E140" s="579"/>
      <c r="F140" s="579"/>
      <c r="G140" s="580"/>
      <c r="H140" s="590"/>
      <c r="I140" s="590"/>
      <c r="J140" s="590"/>
      <c r="K140" s="590"/>
      <c r="L140" s="590"/>
      <c r="M140" s="590"/>
      <c r="N140" s="590"/>
      <c r="O140" s="590"/>
      <c r="P140" s="590"/>
    </row>
    <row r="141" spans="1:16" ht="12.75" customHeight="1" x14ac:dyDescent="0.25">
      <c r="A141" s="560" t="s">
        <v>325</v>
      </c>
      <c r="B141" s="136"/>
      <c r="C141" s="136"/>
      <c r="D141" s="136"/>
      <c r="E141" s="563"/>
      <c r="F141" s="563"/>
      <c r="G141" s="600"/>
      <c r="H141" s="591"/>
      <c r="I141" s="591"/>
      <c r="J141" s="591"/>
      <c r="K141" s="591"/>
      <c r="L141" s="591"/>
      <c r="M141" s="591"/>
      <c r="N141" s="591"/>
      <c r="O141" s="591"/>
      <c r="P141" s="591"/>
    </row>
    <row r="142" spans="1:16" ht="12.75" customHeight="1" x14ac:dyDescent="0.25">
      <c r="A142" s="576"/>
      <c r="B142" s="576"/>
      <c r="C142" s="576"/>
      <c r="D142" s="576"/>
      <c r="E142" s="583"/>
      <c r="F142" s="583"/>
      <c r="G142" s="584"/>
      <c r="H142" s="592"/>
      <c r="I142" s="592"/>
      <c r="J142" s="592"/>
      <c r="K142" s="592"/>
      <c r="L142" s="592"/>
      <c r="M142" s="592"/>
      <c r="N142" s="592"/>
      <c r="O142" s="592"/>
      <c r="P142" s="592"/>
    </row>
    <row r="143" spans="1:16" ht="12.75" customHeight="1" x14ac:dyDescent="0.25">
      <c r="A143" s="139" t="s">
        <v>323</v>
      </c>
      <c r="B143" s="108"/>
      <c r="C143" s="108"/>
      <c r="D143" s="108"/>
      <c r="E143" s="579"/>
      <c r="F143" s="579"/>
      <c r="G143" s="580"/>
      <c r="H143" s="590"/>
      <c r="I143" s="590"/>
      <c r="J143" s="590"/>
      <c r="K143" s="590"/>
      <c r="L143" s="590"/>
      <c r="M143" s="590"/>
      <c r="N143" s="590"/>
      <c r="O143" s="590"/>
      <c r="P143" s="590"/>
    </row>
    <row r="144" spans="1:16" ht="12.75" customHeight="1" x14ac:dyDescent="0.25">
      <c r="A144" s="432" t="s">
        <v>384</v>
      </c>
      <c r="B144" s="108"/>
      <c r="C144" s="108"/>
      <c r="D144" s="108"/>
      <c r="E144" s="579"/>
      <c r="F144" s="579"/>
      <c r="G144" s="580"/>
      <c r="H144" s="590">
        <f>H127</f>
        <v>0.03</v>
      </c>
      <c r="I144" s="590">
        <f>I127</f>
        <v>0.03</v>
      </c>
      <c r="J144" s="590">
        <f t="shared" ref="J144:P144" si="118">J127</f>
        <v>0.03</v>
      </c>
      <c r="K144" s="590">
        <f t="shared" si="118"/>
        <v>0.03</v>
      </c>
      <c r="L144" s="590">
        <f t="shared" si="118"/>
        <v>0.03</v>
      </c>
      <c r="M144" s="590">
        <f t="shared" si="118"/>
        <v>0.03</v>
      </c>
      <c r="N144" s="590">
        <f t="shared" si="118"/>
        <v>0.03</v>
      </c>
      <c r="O144" s="590">
        <f t="shared" si="118"/>
        <v>0.03</v>
      </c>
      <c r="P144" s="590">
        <f t="shared" si="118"/>
        <v>0.03</v>
      </c>
    </row>
    <row r="145" spans="1:16" ht="12.75" customHeight="1" x14ac:dyDescent="0.25">
      <c r="A145" s="432" t="s">
        <v>299</v>
      </c>
      <c r="B145" s="108"/>
      <c r="C145" s="108"/>
      <c r="D145" s="108"/>
      <c r="E145" s="579"/>
      <c r="F145" s="579"/>
      <c r="G145" s="580"/>
      <c r="H145" s="590">
        <f t="shared" ref="H145:I145" si="119">H128</f>
        <v>0.03</v>
      </c>
      <c r="I145" s="590">
        <f t="shared" si="119"/>
        <v>0.03</v>
      </c>
      <c r="J145" s="590">
        <f t="shared" ref="J145:P145" si="120">J128</f>
        <v>0.03</v>
      </c>
      <c r="K145" s="590">
        <f t="shared" si="120"/>
        <v>0.03</v>
      </c>
      <c r="L145" s="590">
        <f t="shared" si="120"/>
        <v>0.03</v>
      </c>
      <c r="M145" s="590">
        <f t="shared" si="120"/>
        <v>0.03</v>
      </c>
      <c r="N145" s="590">
        <f t="shared" si="120"/>
        <v>0.03</v>
      </c>
      <c r="O145" s="590">
        <f t="shared" si="120"/>
        <v>0.03</v>
      </c>
      <c r="P145" s="590">
        <f t="shared" si="120"/>
        <v>0.03</v>
      </c>
    </row>
    <row r="146" spans="1:16" ht="12.75" customHeight="1" x14ac:dyDescent="0.25">
      <c r="A146" s="432" t="s">
        <v>299</v>
      </c>
      <c r="B146" s="108"/>
      <c r="C146" s="108"/>
      <c r="D146" s="108"/>
      <c r="E146" s="579"/>
      <c r="F146" s="579"/>
      <c r="G146" s="580"/>
      <c r="H146" s="590">
        <f t="shared" ref="H146:I146" si="121">H129</f>
        <v>0.03</v>
      </c>
      <c r="I146" s="590">
        <f t="shared" si="121"/>
        <v>0.03</v>
      </c>
      <c r="J146" s="590">
        <f t="shared" ref="J146:P146" si="122">J129</f>
        <v>0.03</v>
      </c>
      <c r="K146" s="590">
        <f t="shared" si="122"/>
        <v>0.03</v>
      </c>
      <c r="L146" s="590">
        <f t="shared" si="122"/>
        <v>0.03</v>
      </c>
      <c r="M146" s="590">
        <f t="shared" si="122"/>
        <v>0.03</v>
      </c>
      <c r="N146" s="590">
        <f t="shared" si="122"/>
        <v>0.03</v>
      </c>
      <c r="O146" s="590">
        <f t="shared" si="122"/>
        <v>0.03</v>
      </c>
      <c r="P146" s="590">
        <f t="shared" si="122"/>
        <v>0.03</v>
      </c>
    </row>
    <row r="147" spans="1:16" ht="12.75" customHeight="1" x14ac:dyDescent="0.25">
      <c r="A147" s="432" t="s">
        <v>299</v>
      </c>
      <c r="B147" s="108"/>
      <c r="C147" s="108"/>
      <c r="D147" s="108"/>
      <c r="E147" s="579"/>
      <c r="F147" s="579"/>
      <c r="G147" s="580"/>
      <c r="H147" s="590">
        <f t="shared" ref="H147:P147" si="123">H130</f>
        <v>0.03</v>
      </c>
      <c r="I147" s="590">
        <f t="shared" si="123"/>
        <v>0.03</v>
      </c>
      <c r="J147" s="590">
        <f t="shared" si="123"/>
        <v>0.03</v>
      </c>
      <c r="K147" s="590">
        <f t="shared" si="123"/>
        <v>0.03</v>
      </c>
      <c r="L147" s="590">
        <f t="shared" si="123"/>
        <v>0.03</v>
      </c>
      <c r="M147" s="590">
        <f t="shared" si="123"/>
        <v>0.03</v>
      </c>
      <c r="N147" s="590">
        <f t="shared" si="123"/>
        <v>0.03</v>
      </c>
      <c r="O147" s="590">
        <f t="shared" si="123"/>
        <v>0.03</v>
      </c>
      <c r="P147" s="590">
        <f t="shared" si="123"/>
        <v>0.03</v>
      </c>
    </row>
    <row r="148" spans="1:16" ht="12.75" customHeight="1" x14ac:dyDescent="0.25">
      <c r="A148" s="432" t="s">
        <v>299</v>
      </c>
      <c r="B148" s="108"/>
      <c r="C148" s="108"/>
      <c r="D148" s="108"/>
      <c r="E148" s="579"/>
      <c r="F148" s="579"/>
      <c r="G148" s="580"/>
      <c r="H148" s="590">
        <f t="shared" ref="H148:P148" si="124">H131</f>
        <v>0.03</v>
      </c>
      <c r="I148" s="590">
        <f t="shared" si="124"/>
        <v>0.03</v>
      </c>
      <c r="J148" s="590">
        <f t="shared" si="124"/>
        <v>0.03</v>
      </c>
      <c r="K148" s="590">
        <f t="shared" si="124"/>
        <v>0.03</v>
      </c>
      <c r="L148" s="590">
        <f t="shared" si="124"/>
        <v>0.03</v>
      </c>
      <c r="M148" s="590">
        <f t="shared" si="124"/>
        <v>0.03</v>
      </c>
      <c r="N148" s="590">
        <f t="shared" si="124"/>
        <v>0.03</v>
      </c>
      <c r="O148" s="590">
        <f t="shared" si="124"/>
        <v>0.03</v>
      </c>
      <c r="P148" s="590">
        <f t="shared" si="124"/>
        <v>0.03</v>
      </c>
    </row>
    <row r="149" spans="1:16" ht="12.75" customHeight="1" x14ac:dyDescent="0.25">
      <c r="A149" s="432" t="s">
        <v>299</v>
      </c>
      <c r="B149" s="108"/>
      <c r="C149" s="108"/>
      <c r="D149" s="108"/>
      <c r="E149" s="579"/>
      <c r="F149" s="579"/>
      <c r="G149" s="580"/>
      <c r="H149" s="590">
        <f t="shared" ref="H149:P149" si="125">H132</f>
        <v>0.03</v>
      </c>
      <c r="I149" s="590">
        <f t="shared" si="125"/>
        <v>0.03</v>
      </c>
      <c r="J149" s="590">
        <f t="shared" si="125"/>
        <v>0.03</v>
      </c>
      <c r="K149" s="590">
        <f t="shared" si="125"/>
        <v>0.03</v>
      </c>
      <c r="L149" s="590">
        <f t="shared" si="125"/>
        <v>0.03</v>
      </c>
      <c r="M149" s="590">
        <f t="shared" si="125"/>
        <v>0.03</v>
      </c>
      <c r="N149" s="590">
        <f t="shared" si="125"/>
        <v>0.03</v>
      </c>
      <c r="O149" s="590">
        <f t="shared" si="125"/>
        <v>0.03</v>
      </c>
      <c r="P149" s="590">
        <f t="shared" si="125"/>
        <v>0.03</v>
      </c>
    </row>
    <row r="150" spans="1:16" ht="12.75" customHeight="1" x14ac:dyDescent="0.25">
      <c r="A150" s="432" t="s">
        <v>299</v>
      </c>
      <c r="B150" s="108"/>
      <c r="C150" s="108"/>
      <c r="D150" s="108"/>
      <c r="E150" s="579"/>
      <c r="F150" s="579"/>
      <c r="G150" s="580"/>
      <c r="H150" s="590">
        <f t="shared" ref="H150:P150" si="126">H133</f>
        <v>0.03</v>
      </c>
      <c r="I150" s="590">
        <f t="shared" si="126"/>
        <v>0.03</v>
      </c>
      <c r="J150" s="590">
        <f t="shared" si="126"/>
        <v>0.03</v>
      </c>
      <c r="K150" s="590">
        <f t="shared" si="126"/>
        <v>0.03</v>
      </c>
      <c r="L150" s="590">
        <f t="shared" si="126"/>
        <v>0.03</v>
      </c>
      <c r="M150" s="590">
        <f t="shared" si="126"/>
        <v>0.03</v>
      </c>
      <c r="N150" s="590">
        <f t="shared" si="126"/>
        <v>0.03</v>
      </c>
      <c r="O150" s="590">
        <f t="shared" si="126"/>
        <v>0.03</v>
      </c>
      <c r="P150" s="590">
        <f t="shared" si="126"/>
        <v>0.03</v>
      </c>
    </row>
    <row r="151" spans="1:16" ht="12.75" customHeight="1" x14ac:dyDescent="0.25">
      <c r="A151" s="432" t="s">
        <v>299</v>
      </c>
      <c r="B151" s="108"/>
      <c r="C151" s="108"/>
      <c r="D151" s="108"/>
      <c r="E151" s="579"/>
      <c r="F151" s="579"/>
      <c r="G151" s="580"/>
      <c r="H151" s="590">
        <f t="shared" ref="H151:P151" si="127">H134</f>
        <v>0.03</v>
      </c>
      <c r="I151" s="590">
        <f t="shared" si="127"/>
        <v>0.03</v>
      </c>
      <c r="J151" s="590">
        <f t="shared" si="127"/>
        <v>0.03</v>
      </c>
      <c r="K151" s="590">
        <f t="shared" si="127"/>
        <v>0.03</v>
      </c>
      <c r="L151" s="590">
        <f t="shared" si="127"/>
        <v>0.03</v>
      </c>
      <c r="M151" s="590">
        <f t="shared" si="127"/>
        <v>0.03</v>
      </c>
      <c r="N151" s="590">
        <f t="shared" si="127"/>
        <v>0.03</v>
      </c>
      <c r="O151" s="590">
        <f t="shared" si="127"/>
        <v>0.03</v>
      </c>
      <c r="P151" s="590">
        <f t="shared" si="127"/>
        <v>0.03</v>
      </c>
    </row>
    <row r="152" spans="1:16" ht="12.75" customHeight="1" x14ac:dyDescent="0.25">
      <c r="A152" s="432" t="s">
        <v>299</v>
      </c>
      <c r="B152" s="108"/>
      <c r="C152" s="108"/>
      <c r="D152" s="108"/>
      <c r="E152" s="579"/>
      <c r="F152" s="579"/>
      <c r="G152" s="580"/>
      <c r="H152" s="590">
        <f t="shared" ref="H152:P152" si="128">H135</f>
        <v>0.03</v>
      </c>
      <c r="I152" s="590">
        <f t="shared" si="128"/>
        <v>0.03</v>
      </c>
      <c r="J152" s="590">
        <f t="shared" si="128"/>
        <v>0.03</v>
      </c>
      <c r="K152" s="590">
        <f t="shared" si="128"/>
        <v>0.03</v>
      </c>
      <c r="L152" s="590">
        <f t="shared" si="128"/>
        <v>0.03</v>
      </c>
      <c r="M152" s="590">
        <f t="shared" si="128"/>
        <v>0.03</v>
      </c>
      <c r="N152" s="590">
        <f t="shared" si="128"/>
        <v>0.03</v>
      </c>
      <c r="O152" s="590">
        <f t="shared" si="128"/>
        <v>0.03</v>
      </c>
      <c r="P152" s="590">
        <f t="shared" si="128"/>
        <v>0.03</v>
      </c>
    </row>
    <row r="153" spans="1:16" ht="12.75" customHeight="1" x14ac:dyDescent="0.25">
      <c r="A153" s="432" t="s">
        <v>299</v>
      </c>
      <c r="B153" s="108"/>
      <c r="C153" s="108"/>
      <c r="D153" s="108"/>
      <c r="E153" s="579"/>
      <c r="F153" s="579"/>
      <c r="G153" s="580"/>
      <c r="H153" s="590">
        <f t="shared" ref="H153:P153" si="129">H136</f>
        <v>0.03</v>
      </c>
      <c r="I153" s="590">
        <f t="shared" si="129"/>
        <v>0.03</v>
      </c>
      <c r="J153" s="590">
        <f t="shared" si="129"/>
        <v>0.03</v>
      </c>
      <c r="K153" s="590">
        <f t="shared" si="129"/>
        <v>0.03</v>
      </c>
      <c r="L153" s="590">
        <f t="shared" si="129"/>
        <v>0.03</v>
      </c>
      <c r="M153" s="590">
        <f t="shared" si="129"/>
        <v>0.03</v>
      </c>
      <c r="N153" s="590">
        <f t="shared" si="129"/>
        <v>0.03</v>
      </c>
      <c r="O153" s="590">
        <f t="shared" si="129"/>
        <v>0.03</v>
      </c>
      <c r="P153" s="590">
        <f t="shared" si="129"/>
        <v>0.03</v>
      </c>
    </row>
    <row r="154" spans="1:16" ht="12.75" customHeight="1" x14ac:dyDescent="0.25">
      <c r="A154" s="432" t="s">
        <v>299</v>
      </c>
      <c r="B154" s="108"/>
      <c r="C154" s="108"/>
      <c r="D154" s="108"/>
      <c r="E154" s="579"/>
      <c r="F154" s="579"/>
      <c r="G154" s="580"/>
      <c r="H154" s="590">
        <f t="shared" ref="H154:I155" si="130">H136</f>
        <v>0.03</v>
      </c>
      <c r="I154" s="590">
        <f t="shared" si="130"/>
        <v>0.03</v>
      </c>
      <c r="J154" s="590">
        <f t="shared" ref="J154:P154" si="131">J136</f>
        <v>0.03</v>
      </c>
      <c r="K154" s="590">
        <f t="shared" si="131"/>
        <v>0.03</v>
      </c>
      <c r="L154" s="590">
        <f t="shared" si="131"/>
        <v>0.03</v>
      </c>
      <c r="M154" s="590">
        <f t="shared" si="131"/>
        <v>0.03</v>
      </c>
      <c r="N154" s="590">
        <f t="shared" si="131"/>
        <v>0.03</v>
      </c>
      <c r="O154" s="590">
        <f t="shared" si="131"/>
        <v>0.03</v>
      </c>
      <c r="P154" s="590">
        <f t="shared" si="131"/>
        <v>0.03</v>
      </c>
    </row>
    <row r="155" spans="1:16" ht="12.75" customHeight="1" x14ac:dyDescent="0.25">
      <c r="A155" s="432" t="s">
        <v>299</v>
      </c>
      <c r="B155" s="108"/>
      <c r="C155" s="108"/>
      <c r="D155" s="108"/>
      <c r="E155" s="579"/>
      <c r="F155" s="579"/>
      <c r="G155" s="580"/>
      <c r="H155" s="590">
        <f t="shared" si="130"/>
        <v>0.03</v>
      </c>
      <c r="I155" s="590">
        <f t="shared" si="130"/>
        <v>0.03</v>
      </c>
      <c r="J155" s="590">
        <f t="shared" ref="J155:P155" si="132">J137</f>
        <v>0.03</v>
      </c>
      <c r="K155" s="590">
        <f t="shared" si="132"/>
        <v>0.03</v>
      </c>
      <c r="L155" s="590">
        <f t="shared" si="132"/>
        <v>0.03</v>
      </c>
      <c r="M155" s="590">
        <f t="shared" si="132"/>
        <v>0.03</v>
      </c>
      <c r="N155" s="590">
        <f t="shared" si="132"/>
        <v>0.03</v>
      </c>
      <c r="O155" s="590">
        <f t="shared" si="132"/>
        <v>0.03</v>
      </c>
      <c r="P155" s="590">
        <f t="shared" si="132"/>
        <v>0.03</v>
      </c>
    </row>
    <row r="156" spans="1:16" ht="12.75" customHeight="1" x14ac:dyDescent="0.25">
      <c r="A156" s="432"/>
      <c r="B156" s="108"/>
      <c r="C156" s="108"/>
      <c r="D156" s="108"/>
      <c r="E156" s="579"/>
      <c r="F156" s="579"/>
      <c r="G156" s="580"/>
      <c r="H156" s="590">
        <f t="shared" ref="H156:I156" si="133">H138</f>
        <v>0.03</v>
      </c>
      <c r="I156" s="590">
        <f t="shared" si="133"/>
        <v>0.03</v>
      </c>
      <c r="J156" s="590">
        <f t="shared" ref="J156:P156" si="134">J138</f>
        <v>0.03</v>
      </c>
      <c r="K156" s="590">
        <f t="shared" si="134"/>
        <v>0.03</v>
      </c>
      <c r="L156" s="590">
        <f t="shared" si="134"/>
        <v>0.03</v>
      </c>
      <c r="M156" s="590">
        <f t="shared" si="134"/>
        <v>0.03</v>
      </c>
      <c r="N156" s="590">
        <f t="shared" si="134"/>
        <v>0.03</v>
      </c>
      <c r="O156" s="590">
        <f t="shared" si="134"/>
        <v>0.03</v>
      </c>
      <c r="P156" s="590">
        <f t="shared" si="134"/>
        <v>0.03</v>
      </c>
    </row>
    <row r="157" spans="1:16" ht="12.75" customHeight="1" x14ac:dyDescent="0.25">
      <c r="A157" s="432" t="s">
        <v>347</v>
      </c>
      <c r="B157" s="108"/>
      <c r="C157" s="108"/>
      <c r="D157" s="108"/>
      <c r="E157" s="579"/>
      <c r="F157" s="579"/>
      <c r="G157" s="580"/>
      <c r="H157" s="590">
        <f t="shared" ref="H157:I157" si="135">H139</f>
        <v>0</v>
      </c>
      <c r="I157" s="590">
        <f t="shared" si="135"/>
        <v>0</v>
      </c>
      <c r="J157" s="590">
        <f t="shared" ref="J157:P157" si="136">J139</f>
        <v>0</v>
      </c>
      <c r="K157" s="590">
        <f t="shared" si="136"/>
        <v>0</v>
      </c>
      <c r="L157" s="590">
        <f t="shared" si="136"/>
        <v>0</v>
      </c>
      <c r="M157" s="590">
        <f t="shared" si="136"/>
        <v>0</v>
      </c>
      <c r="N157" s="590">
        <f t="shared" si="136"/>
        <v>0</v>
      </c>
      <c r="O157" s="590">
        <f t="shared" si="136"/>
        <v>0</v>
      </c>
      <c r="P157" s="590">
        <f t="shared" si="136"/>
        <v>0</v>
      </c>
    </row>
    <row r="158" spans="1:16" ht="12.75" customHeight="1" x14ac:dyDescent="0.25">
      <c r="A158" s="432" t="s">
        <v>305</v>
      </c>
      <c r="B158" s="108"/>
      <c r="C158" s="108"/>
      <c r="D158" s="108"/>
      <c r="E158" s="579"/>
      <c r="F158" s="579"/>
      <c r="G158" s="580"/>
      <c r="H158" s="590"/>
      <c r="I158" s="590"/>
      <c r="J158" s="590"/>
      <c r="K158" s="590"/>
      <c r="L158" s="590"/>
      <c r="M158" s="590"/>
      <c r="N158" s="590"/>
      <c r="O158" s="590"/>
      <c r="P158" s="590"/>
    </row>
    <row r="159" spans="1:16" ht="12.75" customHeight="1" x14ac:dyDescent="0.25">
      <c r="A159" s="560" t="s">
        <v>325</v>
      </c>
      <c r="B159" s="136"/>
      <c r="C159" s="136"/>
      <c r="D159" s="136"/>
      <c r="E159" s="563"/>
      <c r="F159" s="563"/>
      <c r="G159" s="600"/>
      <c r="H159" s="591"/>
      <c r="I159" s="591"/>
      <c r="J159" s="591"/>
      <c r="K159" s="591"/>
      <c r="L159" s="591"/>
      <c r="M159" s="591"/>
      <c r="N159" s="591"/>
      <c r="O159" s="591"/>
      <c r="P159" s="591"/>
    </row>
    <row r="160" spans="1:16" ht="12.75" customHeight="1" x14ac:dyDescent="0.25">
      <c r="A160" s="576"/>
      <c r="B160" s="576"/>
      <c r="C160" s="576"/>
      <c r="D160" s="576"/>
      <c r="E160" s="583"/>
      <c r="F160" s="583"/>
      <c r="G160" s="584"/>
      <c r="H160" s="592"/>
      <c r="I160" s="592"/>
      <c r="J160" s="592"/>
      <c r="K160" s="592"/>
      <c r="L160" s="592"/>
      <c r="M160" s="592"/>
      <c r="N160" s="592"/>
      <c r="O160" s="592"/>
      <c r="P160" s="592"/>
    </row>
    <row r="161" spans="1:16" ht="12.75" customHeight="1" x14ac:dyDescent="0.25">
      <c r="A161" s="139" t="s">
        <v>324</v>
      </c>
      <c r="B161" s="108"/>
      <c r="C161" s="108"/>
      <c r="D161" s="108"/>
      <c r="E161" s="579"/>
      <c r="F161" s="579"/>
      <c r="G161" s="580"/>
      <c r="H161" s="590"/>
      <c r="I161" s="590"/>
      <c r="J161" s="590"/>
      <c r="K161" s="590"/>
      <c r="L161" s="590"/>
      <c r="M161" s="590"/>
      <c r="N161" s="590"/>
      <c r="O161" s="590"/>
      <c r="P161" s="590"/>
    </row>
    <row r="162" spans="1:16" ht="12.75" customHeight="1" x14ac:dyDescent="0.25">
      <c r="A162" s="432" t="s">
        <v>385</v>
      </c>
      <c r="B162" s="108"/>
      <c r="C162" s="108"/>
      <c r="D162" s="108"/>
      <c r="E162" s="579"/>
      <c r="F162" s="579"/>
      <c r="G162" s="580"/>
      <c r="H162" s="590">
        <f>H127</f>
        <v>0.03</v>
      </c>
      <c r="I162" s="590">
        <f>I127</f>
        <v>0.03</v>
      </c>
      <c r="J162" s="590">
        <f t="shared" ref="J162:P162" si="137">J127</f>
        <v>0.03</v>
      </c>
      <c r="K162" s="590">
        <f t="shared" si="137"/>
        <v>0.03</v>
      </c>
      <c r="L162" s="590">
        <f t="shared" si="137"/>
        <v>0.03</v>
      </c>
      <c r="M162" s="590">
        <f t="shared" si="137"/>
        <v>0.03</v>
      </c>
      <c r="N162" s="590">
        <f t="shared" si="137"/>
        <v>0.03</v>
      </c>
      <c r="O162" s="590">
        <f t="shared" si="137"/>
        <v>0.03</v>
      </c>
      <c r="P162" s="590">
        <f t="shared" si="137"/>
        <v>0.03</v>
      </c>
    </row>
    <row r="163" spans="1:16" ht="12.75" customHeight="1" x14ac:dyDescent="0.25">
      <c r="A163" s="432" t="s">
        <v>386</v>
      </c>
      <c r="B163" s="108"/>
      <c r="C163" s="108"/>
      <c r="D163" s="108"/>
      <c r="E163" s="579"/>
      <c r="F163" s="579"/>
      <c r="G163" s="580"/>
      <c r="H163" s="590">
        <f t="shared" ref="H163:I163" si="138">H128</f>
        <v>0.03</v>
      </c>
      <c r="I163" s="590">
        <f t="shared" si="138"/>
        <v>0.03</v>
      </c>
      <c r="J163" s="590">
        <f t="shared" ref="J163:P163" si="139">J128</f>
        <v>0.03</v>
      </c>
      <c r="K163" s="590">
        <f t="shared" si="139"/>
        <v>0.03</v>
      </c>
      <c r="L163" s="590">
        <f t="shared" si="139"/>
        <v>0.03</v>
      </c>
      <c r="M163" s="590">
        <f t="shared" si="139"/>
        <v>0.03</v>
      </c>
      <c r="N163" s="590">
        <f t="shared" si="139"/>
        <v>0.03</v>
      </c>
      <c r="O163" s="590">
        <f t="shared" si="139"/>
        <v>0.03</v>
      </c>
      <c r="P163" s="590">
        <f t="shared" si="139"/>
        <v>0.03</v>
      </c>
    </row>
    <row r="164" spans="1:16" ht="12.75" customHeight="1" x14ac:dyDescent="0.25">
      <c r="A164" s="432" t="s">
        <v>299</v>
      </c>
      <c r="B164" s="108"/>
      <c r="C164" s="108"/>
      <c r="D164" s="108"/>
      <c r="E164" s="579"/>
      <c r="F164" s="579"/>
      <c r="G164" s="580"/>
      <c r="H164" s="590">
        <f t="shared" ref="H164:I164" si="140">H129</f>
        <v>0.03</v>
      </c>
      <c r="I164" s="590">
        <f t="shared" si="140"/>
        <v>0.03</v>
      </c>
      <c r="J164" s="590">
        <f t="shared" ref="J164:P164" si="141">J129</f>
        <v>0.03</v>
      </c>
      <c r="K164" s="590">
        <f t="shared" si="141"/>
        <v>0.03</v>
      </c>
      <c r="L164" s="590">
        <f t="shared" si="141"/>
        <v>0.03</v>
      </c>
      <c r="M164" s="590">
        <f t="shared" si="141"/>
        <v>0.03</v>
      </c>
      <c r="N164" s="590">
        <f t="shared" si="141"/>
        <v>0.03</v>
      </c>
      <c r="O164" s="590">
        <f t="shared" si="141"/>
        <v>0.03</v>
      </c>
      <c r="P164" s="590">
        <f t="shared" si="141"/>
        <v>0.03</v>
      </c>
    </row>
    <row r="165" spans="1:16" ht="12.75" customHeight="1" x14ac:dyDescent="0.25">
      <c r="A165" s="432" t="s">
        <v>299</v>
      </c>
      <c r="B165" s="108"/>
      <c r="C165" s="108"/>
      <c r="D165" s="108"/>
      <c r="E165" s="579"/>
      <c r="F165" s="579"/>
      <c r="G165" s="580"/>
      <c r="H165" s="590">
        <f t="shared" ref="H165:P165" si="142">H130</f>
        <v>0.03</v>
      </c>
      <c r="I165" s="590">
        <f t="shared" si="142"/>
        <v>0.03</v>
      </c>
      <c r="J165" s="590">
        <f t="shared" si="142"/>
        <v>0.03</v>
      </c>
      <c r="K165" s="590">
        <f t="shared" si="142"/>
        <v>0.03</v>
      </c>
      <c r="L165" s="590">
        <f t="shared" si="142"/>
        <v>0.03</v>
      </c>
      <c r="M165" s="590">
        <f t="shared" si="142"/>
        <v>0.03</v>
      </c>
      <c r="N165" s="590">
        <f t="shared" si="142"/>
        <v>0.03</v>
      </c>
      <c r="O165" s="590">
        <f t="shared" si="142"/>
        <v>0.03</v>
      </c>
      <c r="P165" s="590">
        <f t="shared" si="142"/>
        <v>0.03</v>
      </c>
    </row>
    <row r="166" spans="1:16" ht="12.75" customHeight="1" x14ac:dyDescent="0.25">
      <c r="A166" s="432" t="s">
        <v>299</v>
      </c>
      <c r="B166" s="108"/>
      <c r="C166" s="108"/>
      <c r="D166" s="108"/>
      <c r="E166" s="579"/>
      <c r="F166" s="579"/>
      <c r="G166" s="580"/>
      <c r="H166" s="590">
        <f t="shared" ref="H166:P166" si="143">H131</f>
        <v>0.03</v>
      </c>
      <c r="I166" s="590">
        <f t="shared" si="143"/>
        <v>0.03</v>
      </c>
      <c r="J166" s="590">
        <f t="shared" si="143"/>
        <v>0.03</v>
      </c>
      <c r="K166" s="590">
        <f t="shared" si="143"/>
        <v>0.03</v>
      </c>
      <c r="L166" s="590">
        <f t="shared" si="143"/>
        <v>0.03</v>
      </c>
      <c r="M166" s="590">
        <f t="shared" si="143"/>
        <v>0.03</v>
      </c>
      <c r="N166" s="590">
        <f t="shared" si="143"/>
        <v>0.03</v>
      </c>
      <c r="O166" s="590">
        <f t="shared" si="143"/>
        <v>0.03</v>
      </c>
      <c r="P166" s="590">
        <f t="shared" si="143"/>
        <v>0.03</v>
      </c>
    </row>
    <row r="167" spans="1:16" ht="12.75" customHeight="1" x14ac:dyDescent="0.25">
      <c r="A167" s="432" t="s">
        <v>299</v>
      </c>
      <c r="B167" s="108"/>
      <c r="C167" s="108"/>
      <c r="D167" s="108"/>
      <c r="E167" s="579"/>
      <c r="F167" s="579"/>
      <c r="G167" s="580"/>
      <c r="H167" s="590">
        <f t="shared" ref="H167:P167" si="144">H132</f>
        <v>0.03</v>
      </c>
      <c r="I167" s="590">
        <f t="shared" si="144"/>
        <v>0.03</v>
      </c>
      <c r="J167" s="590">
        <f t="shared" si="144"/>
        <v>0.03</v>
      </c>
      <c r="K167" s="590">
        <f t="shared" si="144"/>
        <v>0.03</v>
      </c>
      <c r="L167" s="590">
        <f t="shared" si="144"/>
        <v>0.03</v>
      </c>
      <c r="M167" s="590">
        <f t="shared" si="144"/>
        <v>0.03</v>
      </c>
      <c r="N167" s="590">
        <f t="shared" si="144"/>
        <v>0.03</v>
      </c>
      <c r="O167" s="590">
        <f t="shared" si="144"/>
        <v>0.03</v>
      </c>
      <c r="P167" s="590">
        <f t="shared" si="144"/>
        <v>0.03</v>
      </c>
    </row>
    <row r="168" spans="1:16" ht="12.75" customHeight="1" x14ac:dyDescent="0.25">
      <c r="A168" s="432" t="s">
        <v>299</v>
      </c>
      <c r="B168" s="108"/>
      <c r="C168" s="108"/>
      <c r="D168" s="108"/>
      <c r="E168" s="579"/>
      <c r="F168" s="579"/>
      <c r="G168" s="580"/>
      <c r="H168" s="590">
        <f t="shared" ref="H168:P168" si="145">H133</f>
        <v>0.03</v>
      </c>
      <c r="I168" s="590">
        <f t="shared" si="145"/>
        <v>0.03</v>
      </c>
      <c r="J168" s="590">
        <f t="shared" si="145"/>
        <v>0.03</v>
      </c>
      <c r="K168" s="590">
        <f t="shared" si="145"/>
        <v>0.03</v>
      </c>
      <c r="L168" s="590">
        <f t="shared" si="145"/>
        <v>0.03</v>
      </c>
      <c r="M168" s="590">
        <f t="shared" si="145"/>
        <v>0.03</v>
      </c>
      <c r="N168" s="590">
        <f t="shared" si="145"/>
        <v>0.03</v>
      </c>
      <c r="O168" s="590">
        <f t="shared" si="145"/>
        <v>0.03</v>
      </c>
      <c r="P168" s="590">
        <f t="shared" si="145"/>
        <v>0.03</v>
      </c>
    </row>
    <row r="169" spans="1:16" ht="12.75" customHeight="1" x14ac:dyDescent="0.25">
      <c r="A169" s="432" t="s">
        <v>299</v>
      </c>
      <c r="B169" s="108"/>
      <c r="C169" s="108"/>
      <c r="D169" s="108"/>
      <c r="E169" s="579"/>
      <c r="F169" s="579"/>
      <c r="G169" s="580"/>
      <c r="H169" s="590">
        <f t="shared" ref="H169:P169" si="146">H134</f>
        <v>0.03</v>
      </c>
      <c r="I169" s="590">
        <f t="shared" si="146"/>
        <v>0.03</v>
      </c>
      <c r="J169" s="590">
        <f t="shared" si="146"/>
        <v>0.03</v>
      </c>
      <c r="K169" s="590">
        <f t="shared" si="146"/>
        <v>0.03</v>
      </c>
      <c r="L169" s="590">
        <f t="shared" si="146"/>
        <v>0.03</v>
      </c>
      <c r="M169" s="590">
        <f t="shared" si="146"/>
        <v>0.03</v>
      </c>
      <c r="N169" s="590">
        <f t="shared" si="146"/>
        <v>0.03</v>
      </c>
      <c r="O169" s="590">
        <f t="shared" si="146"/>
        <v>0.03</v>
      </c>
      <c r="P169" s="590">
        <f t="shared" si="146"/>
        <v>0.03</v>
      </c>
    </row>
    <row r="170" spans="1:16" ht="12.75" customHeight="1" x14ac:dyDescent="0.25">
      <c r="A170" s="432" t="s">
        <v>299</v>
      </c>
      <c r="B170" s="108"/>
      <c r="C170" s="108"/>
      <c r="D170" s="108"/>
      <c r="E170" s="579"/>
      <c r="F170" s="579"/>
      <c r="G170" s="580"/>
      <c r="H170" s="590">
        <f t="shared" ref="H170:P170" si="147">H135</f>
        <v>0.03</v>
      </c>
      <c r="I170" s="590">
        <f t="shared" si="147"/>
        <v>0.03</v>
      </c>
      <c r="J170" s="590">
        <f t="shared" si="147"/>
        <v>0.03</v>
      </c>
      <c r="K170" s="590">
        <f t="shared" si="147"/>
        <v>0.03</v>
      </c>
      <c r="L170" s="590">
        <f t="shared" si="147"/>
        <v>0.03</v>
      </c>
      <c r="M170" s="590">
        <f t="shared" si="147"/>
        <v>0.03</v>
      </c>
      <c r="N170" s="590">
        <f t="shared" si="147"/>
        <v>0.03</v>
      </c>
      <c r="O170" s="590">
        <f t="shared" si="147"/>
        <v>0.03</v>
      </c>
      <c r="P170" s="590">
        <f t="shared" si="147"/>
        <v>0.03</v>
      </c>
    </row>
    <row r="171" spans="1:16" ht="12.75" customHeight="1" x14ac:dyDescent="0.25">
      <c r="A171" s="432" t="s">
        <v>299</v>
      </c>
      <c r="B171" s="108"/>
      <c r="C171" s="108"/>
      <c r="D171" s="108"/>
      <c r="E171" s="579"/>
      <c r="F171" s="579"/>
      <c r="G171" s="580"/>
      <c r="H171" s="590">
        <f t="shared" ref="H171:I171" si="148">H135</f>
        <v>0.03</v>
      </c>
      <c r="I171" s="590">
        <f t="shared" si="148"/>
        <v>0.03</v>
      </c>
      <c r="J171" s="590">
        <f t="shared" ref="J171:P171" si="149">J135</f>
        <v>0.03</v>
      </c>
      <c r="K171" s="590">
        <f t="shared" si="149"/>
        <v>0.03</v>
      </c>
      <c r="L171" s="590">
        <f t="shared" si="149"/>
        <v>0.03</v>
      </c>
      <c r="M171" s="590">
        <f t="shared" si="149"/>
        <v>0.03</v>
      </c>
      <c r="N171" s="590">
        <f t="shared" si="149"/>
        <v>0.03</v>
      </c>
      <c r="O171" s="590">
        <f t="shared" si="149"/>
        <v>0.03</v>
      </c>
      <c r="P171" s="590">
        <f t="shared" si="149"/>
        <v>0.03</v>
      </c>
    </row>
    <row r="172" spans="1:16" ht="12.75" customHeight="1" x14ac:dyDescent="0.25">
      <c r="A172" s="432" t="s">
        <v>299</v>
      </c>
      <c r="B172" s="108"/>
      <c r="C172" s="108"/>
      <c r="D172" s="108"/>
      <c r="E172" s="579"/>
      <c r="F172" s="579"/>
      <c r="G172" s="580"/>
      <c r="H172" s="590">
        <f t="shared" ref="H172:I173" si="150">H136</f>
        <v>0.03</v>
      </c>
      <c r="I172" s="590">
        <f t="shared" si="150"/>
        <v>0.03</v>
      </c>
      <c r="J172" s="590">
        <f t="shared" ref="J172:P172" si="151">J136</f>
        <v>0.03</v>
      </c>
      <c r="K172" s="590">
        <f t="shared" si="151"/>
        <v>0.03</v>
      </c>
      <c r="L172" s="590">
        <f t="shared" si="151"/>
        <v>0.03</v>
      </c>
      <c r="M172" s="590">
        <f t="shared" si="151"/>
        <v>0.03</v>
      </c>
      <c r="N172" s="590">
        <f t="shared" si="151"/>
        <v>0.03</v>
      </c>
      <c r="O172" s="590">
        <f t="shared" si="151"/>
        <v>0.03</v>
      </c>
      <c r="P172" s="590">
        <f t="shared" si="151"/>
        <v>0.03</v>
      </c>
    </row>
    <row r="173" spans="1:16" ht="12.75" customHeight="1" x14ac:dyDescent="0.25">
      <c r="A173" s="432" t="s">
        <v>299</v>
      </c>
      <c r="B173" s="108"/>
      <c r="C173" s="108"/>
      <c r="D173" s="108"/>
      <c r="E173" s="579"/>
      <c r="F173" s="579"/>
      <c r="G173" s="580"/>
      <c r="H173" s="590">
        <f t="shared" si="150"/>
        <v>0.03</v>
      </c>
      <c r="I173" s="590">
        <f t="shared" si="150"/>
        <v>0.03</v>
      </c>
      <c r="J173" s="590">
        <f t="shared" ref="J173:P173" si="152">J137</f>
        <v>0.03</v>
      </c>
      <c r="K173" s="590">
        <f t="shared" si="152"/>
        <v>0.03</v>
      </c>
      <c r="L173" s="590">
        <f t="shared" si="152"/>
        <v>0.03</v>
      </c>
      <c r="M173" s="590">
        <f t="shared" si="152"/>
        <v>0.03</v>
      </c>
      <c r="N173" s="590">
        <f t="shared" si="152"/>
        <v>0.03</v>
      </c>
      <c r="O173" s="590">
        <f t="shared" si="152"/>
        <v>0.03</v>
      </c>
      <c r="P173" s="590">
        <f t="shared" si="152"/>
        <v>0.03</v>
      </c>
    </row>
    <row r="174" spans="1:16" ht="12.75" customHeight="1" x14ac:dyDescent="0.25">
      <c r="A174" s="432"/>
      <c r="B174" s="108"/>
      <c r="C174" s="108"/>
      <c r="D174" s="108"/>
      <c r="E174" s="579"/>
      <c r="F174" s="579"/>
      <c r="G174" s="580"/>
      <c r="H174" s="590">
        <f t="shared" ref="H174:I174" si="153">H138</f>
        <v>0.03</v>
      </c>
      <c r="I174" s="590">
        <f t="shared" si="153"/>
        <v>0.03</v>
      </c>
      <c r="J174" s="590">
        <f t="shared" ref="J174:P174" si="154">J138</f>
        <v>0.03</v>
      </c>
      <c r="K174" s="590">
        <f t="shared" si="154"/>
        <v>0.03</v>
      </c>
      <c r="L174" s="590">
        <f t="shared" si="154"/>
        <v>0.03</v>
      </c>
      <c r="M174" s="590">
        <f t="shared" si="154"/>
        <v>0.03</v>
      </c>
      <c r="N174" s="590">
        <f t="shared" si="154"/>
        <v>0.03</v>
      </c>
      <c r="O174" s="590">
        <f t="shared" si="154"/>
        <v>0.03</v>
      </c>
      <c r="P174" s="590">
        <f t="shared" si="154"/>
        <v>0.03</v>
      </c>
    </row>
    <row r="175" spans="1:16" ht="12.75" customHeight="1" x14ac:dyDescent="0.25">
      <c r="A175" s="432" t="s">
        <v>347</v>
      </c>
      <c r="B175" s="108"/>
      <c r="C175" s="108"/>
      <c r="D175" s="108"/>
      <c r="E175" s="579"/>
      <c r="F175" s="579"/>
      <c r="G175" s="580"/>
      <c r="H175" s="590">
        <f t="shared" ref="H175:I175" si="155">H139</f>
        <v>0</v>
      </c>
      <c r="I175" s="590">
        <f t="shared" si="155"/>
        <v>0</v>
      </c>
      <c r="J175" s="590">
        <f t="shared" ref="J175:P175" si="156">J139</f>
        <v>0</v>
      </c>
      <c r="K175" s="590">
        <f t="shared" si="156"/>
        <v>0</v>
      </c>
      <c r="L175" s="590">
        <f t="shared" si="156"/>
        <v>0</v>
      </c>
      <c r="M175" s="590">
        <f t="shared" si="156"/>
        <v>0</v>
      </c>
      <c r="N175" s="590">
        <f t="shared" si="156"/>
        <v>0</v>
      </c>
      <c r="O175" s="590">
        <f t="shared" si="156"/>
        <v>0</v>
      </c>
      <c r="P175" s="590">
        <f t="shared" si="156"/>
        <v>0</v>
      </c>
    </row>
    <row r="176" spans="1:16" ht="12.75" customHeight="1" x14ac:dyDescent="0.25">
      <c r="A176" s="432" t="s">
        <v>305</v>
      </c>
      <c r="B176" s="108"/>
      <c r="C176" s="108"/>
      <c r="D176" s="108"/>
      <c r="E176" s="579"/>
      <c r="F176" s="579"/>
      <c r="G176" s="580"/>
      <c r="H176" s="590"/>
      <c r="I176" s="590"/>
      <c r="J176" s="590"/>
      <c r="K176" s="590"/>
      <c r="L176" s="590"/>
      <c r="M176" s="590"/>
      <c r="N176" s="590"/>
      <c r="O176" s="590"/>
      <c r="P176" s="590"/>
    </row>
    <row r="177" spans="1:16" ht="12.75" customHeight="1" x14ac:dyDescent="0.25">
      <c r="A177" s="432" t="s">
        <v>325</v>
      </c>
      <c r="B177" s="108"/>
      <c r="C177" s="108"/>
      <c r="D177" s="108"/>
      <c r="E177" s="579"/>
      <c r="F177" s="579"/>
      <c r="G177" s="580"/>
      <c r="H177" s="590"/>
      <c r="I177" s="590"/>
      <c r="J177" s="590"/>
      <c r="K177" s="590"/>
      <c r="L177" s="590"/>
      <c r="M177" s="590"/>
      <c r="N177" s="590"/>
      <c r="O177" s="590"/>
      <c r="P177" s="590"/>
    </row>
    <row r="178" spans="1:16" ht="12.75" customHeight="1" thickBot="1" x14ac:dyDescent="0.3">
      <c r="A178" s="115"/>
      <c r="B178" s="115"/>
      <c r="C178" s="115"/>
      <c r="D178" s="585"/>
      <c r="E178" s="115"/>
      <c r="F178" s="115"/>
      <c r="G178" s="262"/>
      <c r="H178" s="115"/>
      <c r="I178" s="115"/>
      <c r="J178" s="115"/>
      <c r="K178" s="115"/>
      <c r="L178" s="115"/>
      <c r="M178" s="115"/>
      <c r="N178" s="115"/>
      <c r="O178" s="115"/>
      <c r="P178" s="115"/>
    </row>
    <row r="179" spans="1:16" ht="12.75" customHeight="1" x14ac:dyDescent="0.25">
      <c r="D179" s="566"/>
      <c r="E179" s="567"/>
      <c r="F179" s="567"/>
      <c r="G179" s="567"/>
      <c r="H179" s="567"/>
      <c r="I179" s="567"/>
      <c r="J179" s="567"/>
      <c r="K179" s="567"/>
    </row>
    <row r="180" spans="1:16" ht="12.75" customHeight="1" x14ac:dyDescent="0.25">
      <c r="D180" s="566"/>
      <c r="E180" s="567"/>
      <c r="F180" s="567"/>
      <c r="G180" s="567"/>
      <c r="H180" s="567"/>
      <c r="I180" s="567"/>
      <c r="J180" s="567"/>
      <c r="K180" s="567"/>
    </row>
    <row r="181" spans="1:16" ht="12.75" customHeight="1" x14ac:dyDescent="0.25">
      <c r="D181" s="566"/>
      <c r="E181" s="567"/>
      <c r="F181" s="567"/>
      <c r="G181" s="567"/>
      <c r="H181" s="567"/>
      <c r="I181" s="567"/>
      <c r="J181" s="567"/>
      <c r="K181" s="567"/>
    </row>
    <row r="182" spans="1:16" ht="12.75" customHeight="1" x14ac:dyDescent="0.25">
      <c r="D182" s="566"/>
      <c r="E182" s="567"/>
      <c r="F182" s="567"/>
      <c r="G182" s="567"/>
      <c r="H182" s="567"/>
      <c r="I182" s="567"/>
      <c r="J182" s="567"/>
      <c r="K182" s="567"/>
    </row>
    <row r="183" spans="1:16" ht="12.75" customHeight="1" x14ac:dyDescent="0.25">
      <c r="D183" s="566"/>
      <c r="E183" s="567"/>
      <c r="F183" s="567"/>
      <c r="G183" s="567"/>
      <c r="H183" s="567"/>
      <c r="I183" s="567"/>
      <c r="J183" s="567"/>
      <c r="K183" s="567"/>
    </row>
    <row r="184" spans="1:16" ht="12.75" customHeight="1" x14ac:dyDescent="0.25">
      <c r="D184" s="566"/>
      <c r="E184" s="567"/>
      <c r="F184" s="567"/>
      <c r="G184" s="567"/>
      <c r="H184" s="567"/>
      <c r="I184" s="567"/>
      <c r="J184" s="567"/>
      <c r="K184" s="567"/>
    </row>
    <row r="185" spans="1:16" ht="12.75" customHeight="1" x14ac:dyDescent="0.25">
      <c r="D185" s="566"/>
      <c r="E185" s="567"/>
      <c r="F185" s="567"/>
      <c r="G185" s="567"/>
      <c r="H185" s="567"/>
      <c r="I185" s="567"/>
      <c r="J185" s="567"/>
      <c r="K185" s="567"/>
    </row>
    <row r="186" spans="1:16" ht="12.75" customHeight="1" x14ac:dyDescent="0.25">
      <c r="D186" s="566"/>
      <c r="E186" s="567"/>
      <c r="F186" s="567"/>
      <c r="G186" s="567"/>
      <c r="H186" s="567"/>
      <c r="I186" s="567"/>
      <c r="J186" s="567"/>
      <c r="K186" s="567"/>
    </row>
    <row r="187" spans="1:16" ht="12.75" customHeight="1" x14ac:dyDescent="0.25">
      <c r="D187" s="566"/>
      <c r="E187" s="567"/>
      <c r="F187" s="567"/>
      <c r="G187" s="567"/>
      <c r="H187" s="567"/>
      <c r="I187" s="567"/>
      <c r="J187" s="567"/>
      <c r="K187" s="567"/>
    </row>
    <row r="188" spans="1:16" ht="12.75" customHeight="1" x14ac:dyDescent="0.25">
      <c r="D188" s="566"/>
      <c r="E188" s="567"/>
      <c r="F188" s="567"/>
      <c r="G188" s="567"/>
      <c r="H188" s="567"/>
      <c r="I188" s="567"/>
      <c r="J188" s="567"/>
      <c r="K188" s="567"/>
    </row>
    <row r="189" spans="1:16" ht="12.75" customHeight="1" x14ac:dyDescent="0.25">
      <c r="D189" s="566"/>
      <c r="E189" s="567"/>
      <c r="F189" s="567"/>
      <c r="G189" s="567"/>
      <c r="H189" s="567"/>
      <c r="I189" s="567"/>
      <c r="J189" s="567"/>
      <c r="K189" s="567"/>
    </row>
    <row r="190" spans="1:16" ht="12.75" customHeight="1" x14ac:dyDescent="0.25">
      <c r="D190" s="566"/>
      <c r="E190" s="567"/>
      <c r="F190" s="567"/>
      <c r="G190" s="567"/>
      <c r="H190" s="567"/>
      <c r="I190" s="567"/>
      <c r="J190" s="567"/>
      <c r="K190" s="567"/>
    </row>
    <row r="191" spans="1:16" ht="12.75" customHeight="1" x14ac:dyDescent="0.25">
      <c r="D191" s="566"/>
      <c r="E191" s="567"/>
      <c r="F191" s="567"/>
      <c r="G191" s="567"/>
      <c r="H191" s="567"/>
      <c r="I191" s="567"/>
      <c r="J191" s="567"/>
      <c r="K191" s="567"/>
    </row>
    <row r="192" spans="1:16" ht="12.75" customHeight="1" x14ac:dyDescent="0.25">
      <c r="D192" s="566"/>
      <c r="E192" s="567"/>
      <c r="F192" s="567"/>
      <c r="G192" s="567"/>
      <c r="H192" s="567"/>
      <c r="I192" s="567"/>
      <c r="J192" s="567"/>
      <c r="K192" s="567"/>
    </row>
    <row r="193" spans="4:11" ht="12.75" customHeight="1" x14ac:dyDescent="0.25">
      <c r="D193" s="566"/>
      <c r="E193" s="567"/>
      <c r="F193" s="567"/>
      <c r="G193" s="567"/>
      <c r="H193" s="567"/>
      <c r="I193" s="567"/>
      <c r="J193" s="567"/>
      <c r="K193" s="567"/>
    </row>
    <row r="194" spans="4:11" ht="12.75" customHeight="1" x14ac:dyDescent="0.25">
      <c r="D194" s="566"/>
      <c r="E194" s="567"/>
      <c r="F194" s="567"/>
      <c r="G194" s="567"/>
      <c r="H194" s="567"/>
      <c r="I194" s="567"/>
      <c r="J194" s="567"/>
      <c r="K194" s="567"/>
    </row>
    <row r="195" spans="4:11" ht="12.75" customHeight="1" x14ac:dyDescent="0.25">
      <c r="D195" s="566"/>
      <c r="E195" s="567"/>
      <c r="F195" s="567"/>
      <c r="G195" s="567"/>
      <c r="H195" s="567"/>
      <c r="I195" s="567"/>
      <c r="J195" s="567"/>
      <c r="K195" s="567"/>
    </row>
    <row r="196" spans="4:11" ht="12.75" customHeight="1" x14ac:dyDescent="0.25">
      <c r="D196" s="566"/>
      <c r="E196" s="567"/>
      <c r="F196" s="567"/>
      <c r="G196" s="567"/>
      <c r="H196" s="567"/>
      <c r="I196" s="567"/>
      <c r="J196" s="567"/>
      <c r="K196" s="567"/>
    </row>
    <row r="197" spans="4:11" ht="12.75" customHeight="1" x14ac:dyDescent="0.25">
      <c r="D197" s="566"/>
      <c r="E197" s="567"/>
      <c r="F197" s="567"/>
      <c r="G197" s="567"/>
      <c r="H197" s="567"/>
      <c r="I197" s="567"/>
      <c r="J197" s="567"/>
      <c r="K197" s="567"/>
    </row>
    <row r="198" spans="4:11" ht="12.75" customHeight="1" x14ac:dyDescent="0.25">
      <c r="D198" s="566"/>
      <c r="E198" s="567"/>
      <c r="F198" s="567"/>
      <c r="G198" s="567"/>
      <c r="H198" s="567"/>
      <c r="I198" s="567"/>
      <c r="J198" s="567"/>
      <c r="K198" s="567"/>
    </row>
    <row r="199" spans="4:11" ht="12.75" customHeight="1" x14ac:dyDescent="0.25">
      <c r="D199" s="566"/>
      <c r="E199" s="567"/>
      <c r="F199" s="567"/>
      <c r="G199" s="567"/>
      <c r="H199" s="567"/>
      <c r="I199" s="567"/>
      <c r="J199" s="567"/>
      <c r="K199" s="567"/>
    </row>
    <row r="200" spans="4:11" ht="12.75" customHeight="1" x14ac:dyDescent="0.25">
      <c r="D200" s="566"/>
      <c r="E200" s="567"/>
      <c r="F200" s="567"/>
      <c r="G200" s="567"/>
      <c r="H200" s="567"/>
      <c r="I200" s="567"/>
      <c r="J200" s="567"/>
      <c r="K200" s="567"/>
    </row>
    <row r="201" spans="4:11" ht="12.75" customHeight="1" x14ac:dyDescent="0.25">
      <c r="D201" s="566"/>
      <c r="E201" s="567"/>
      <c r="F201" s="567"/>
      <c r="G201" s="567"/>
      <c r="H201" s="567"/>
      <c r="I201" s="567"/>
      <c r="J201" s="567"/>
      <c r="K201" s="567"/>
    </row>
    <row r="202" spans="4:11" ht="12.75" customHeight="1" x14ac:dyDescent="0.25">
      <c r="D202" s="566"/>
      <c r="E202" s="567"/>
      <c r="F202" s="567"/>
      <c r="G202" s="567"/>
      <c r="H202" s="567"/>
      <c r="I202" s="567"/>
      <c r="J202" s="567"/>
      <c r="K202" s="567"/>
    </row>
    <row r="203" spans="4:11" ht="12.75" customHeight="1" x14ac:dyDescent="0.25">
      <c r="D203" s="566"/>
      <c r="E203" s="567"/>
      <c r="F203" s="567"/>
      <c r="G203" s="567"/>
      <c r="H203" s="567"/>
      <c r="I203" s="567"/>
      <c r="J203" s="567"/>
      <c r="K203" s="567"/>
    </row>
    <row r="204" spans="4:11" ht="12.75" customHeight="1" x14ac:dyDescent="0.25">
      <c r="D204" s="566"/>
      <c r="E204" s="567"/>
      <c r="F204" s="567"/>
      <c r="G204" s="567"/>
      <c r="H204" s="567"/>
      <c r="I204" s="567"/>
      <c r="J204" s="567"/>
      <c r="K204" s="567"/>
    </row>
    <row r="205" spans="4:11" ht="12.75" customHeight="1" x14ac:dyDescent="0.25">
      <c r="D205" s="566"/>
      <c r="E205" s="567"/>
      <c r="F205" s="567"/>
      <c r="G205" s="567"/>
      <c r="H205" s="567"/>
      <c r="I205" s="567"/>
      <c r="J205" s="567"/>
      <c r="K205" s="567"/>
    </row>
    <row r="206" spans="4:11" ht="12.75" customHeight="1" x14ac:dyDescent="0.25">
      <c r="D206" s="566"/>
      <c r="E206" s="567"/>
      <c r="F206" s="567"/>
      <c r="G206" s="567"/>
      <c r="H206" s="567"/>
      <c r="I206" s="567"/>
      <c r="J206" s="567"/>
      <c r="K206" s="567"/>
    </row>
    <row r="207" spans="4:11" ht="12.75" customHeight="1" x14ac:dyDescent="0.25">
      <c r="D207" s="566"/>
      <c r="E207" s="567"/>
      <c r="F207" s="567"/>
      <c r="G207" s="567"/>
      <c r="H207" s="567"/>
      <c r="I207" s="567"/>
      <c r="J207" s="567"/>
      <c r="K207" s="567"/>
    </row>
    <row r="208" spans="4:11" ht="12.75" customHeight="1" x14ac:dyDescent="0.25">
      <c r="D208" s="566"/>
      <c r="E208" s="567"/>
      <c r="F208" s="567"/>
      <c r="G208" s="567"/>
      <c r="H208" s="567"/>
      <c r="I208" s="567"/>
      <c r="J208" s="567"/>
      <c r="K208" s="567"/>
    </row>
    <row r="209" spans="4:11" ht="12.75" customHeight="1" x14ac:dyDescent="0.25">
      <c r="D209" s="566"/>
      <c r="E209" s="567"/>
      <c r="F209" s="567"/>
      <c r="G209" s="567"/>
      <c r="H209" s="567"/>
      <c r="I209" s="567"/>
      <c r="J209" s="567"/>
      <c r="K209" s="567"/>
    </row>
    <row r="210" spans="4:11" ht="12.75" customHeight="1" x14ac:dyDescent="0.25">
      <c r="D210" s="566"/>
      <c r="E210" s="567"/>
      <c r="F210" s="567"/>
      <c r="G210" s="567"/>
      <c r="H210" s="567"/>
      <c r="I210" s="567"/>
      <c r="J210" s="567"/>
      <c r="K210" s="567"/>
    </row>
    <row r="211" spans="4:11" ht="12.75" customHeight="1" x14ac:dyDescent="0.25">
      <c r="D211" s="566"/>
      <c r="E211" s="567"/>
      <c r="F211" s="567"/>
      <c r="G211" s="567"/>
      <c r="H211" s="567"/>
      <c r="I211" s="567"/>
      <c r="J211" s="567"/>
      <c r="K211" s="567"/>
    </row>
    <row r="212" spans="4:11" ht="12.75" customHeight="1" x14ac:dyDescent="0.25">
      <c r="D212" s="566"/>
      <c r="E212" s="567"/>
      <c r="F212" s="567"/>
      <c r="G212" s="567"/>
      <c r="H212" s="567"/>
      <c r="I212" s="567"/>
      <c r="J212" s="567"/>
      <c r="K212" s="567"/>
    </row>
    <row r="213" spans="4:11" ht="12.75" customHeight="1" x14ac:dyDescent="0.25">
      <c r="D213" s="566"/>
      <c r="E213" s="567"/>
      <c r="F213" s="567"/>
      <c r="G213" s="567"/>
      <c r="H213" s="567"/>
      <c r="I213" s="567"/>
      <c r="J213" s="567"/>
      <c r="K213" s="567"/>
    </row>
    <row r="214" spans="4:11" ht="12.75" customHeight="1" x14ac:dyDescent="0.25">
      <c r="D214" s="566"/>
      <c r="E214" s="567"/>
      <c r="F214" s="567"/>
      <c r="G214" s="567"/>
      <c r="H214" s="567"/>
      <c r="I214" s="567"/>
      <c r="J214" s="567"/>
      <c r="K214" s="567"/>
    </row>
    <row r="215" spans="4:11" ht="12.75" customHeight="1" x14ac:dyDescent="0.25">
      <c r="D215" s="566"/>
      <c r="E215" s="567"/>
      <c r="F215" s="567"/>
      <c r="G215" s="567"/>
      <c r="H215" s="567"/>
      <c r="I215" s="567"/>
      <c r="J215" s="567"/>
      <c r="K215" s="567"/>
    </row>
    <row r="216" spans="4:11" ht="12.75" customHeight="1" x14ac:dyDescent="0.25">
      <c r="D216" s="566"/>
      <c r="E216" s="567"/>
      <c r="F216" s="567"/>
      <c r="G216" s="567"/>
      <c r="H216" s="567"/>
      <c r="I216" s="567"/>
      <c r="J216" s="567"/>
      <c r="K216" s="567"/>
    </row>
    <row r="217" spans="4:11" ht="12.75" customHeight="1" x14ac:dyDescent="0.25">
      <c r="D217" s="566"/>
      <c r="E217" s="567"/>
      <c r="F217" s="567"/>
      <c r="G217" s="567"/>
      <c r="H217" s="567"/>
      <c r="I217" s="567"/>
      <c r="J217" s="567"/>
      <c r="K217" s="567"/>
    </row>
    <row r="218" spans="4:11" ht="12.75" customHeight="1" x14ac:dyDescent="0.25">
      <c r="D218" s="566"/>
      <c r="E218" s="567"/>
      <c r="F218" s="567"/>
      <c r="G218" s="567"/>
      <c r="H218" s="567"/>
      <c r="I218" s="567"/>
      <c r="J218" s="567"/>
      <c r="K218" s="567"/>
    </row>
    <row r="219" spans="4:11" ht="12.75" customHeight="1" x14ac:dyDescent="0.25">
      <c r="D219" s="566"/>
      <c r="E219" s="567"/>
      <c r="F219" s="567"/>
      <c r="G219" s="567"/>
      <c r="H219" s="567"/>
      <c r="I219" s="567"/>
      <c r="J219" s="567"/>
      <c r="K219" s="567"/>
    </row>
    <row r="220" spans="4:11" ht="12.75" customHeight="1" x14ac:dyDescent="0.25">
      <c r="D220" s="566"/>
      <c r="E220" s="567"/>
      <c r="F220" s="567"/>
      <c r="G220" s="567"/>
      <c r="H220" s="567"/>
      <c r="I220" s="567"/>
      <c r="J220" s="567"/>
      <c r="K220" s="567"/>
    </row>
    <row r="221" spans="4:11" ht="12.75" customHeight="1" x14ac:dyDescent="0.25">
      <c r="D221" s="566"/>
      <c r="E221" s="567"/>
      <c r="F221" s="567"/>
      <c r="G221" s="567"/>
      <c r="H221" s="567"/>
      <c r="I221" s="567"/>
      <c r="J221" s="567"/>
      <c r="K221" s="567"/>
    </row>
    <row r="222" spans="4:11" ht="12.75" customHeight="1" x14ac:dyDescent="0.25">
      <c r="D222" s="566"/>
      <c r="E222" s="567"/>
      <c r="F222" s="567"/>
      <c r="G222" s="567"/>
      <c r="H222" s="567"/>
      <c r="I222" s="567"/>
      <c r="J222" s="567"/>
      <c r="K222" s="567"/>
    </row>
    <row r="223" spans="4:11" ht="12.75" customHeight="1" x14ac:dyDescent="0.25">
      <c r="D223" s="566"/>
      <c r="E223" s="567"/>
      <c r="F223" s="567"/>
      <c r="G223" s="567"/>
      <c r="H223" s="567"/>
      <c r="I223" s="567"/>
      <c r="J223" s="567"/>
      <c r="K223" s="567"/>
    </row>
    <row r="224" spans="4:11" ht="12.75" customHeight="1" x14ac:dyDescent="0.25">
      <c r="D224" s="566"/>
      <c r="E224" s="567"/>
      <c r="F224" s="567"/>
      <c r="G224" s="567"/>
      <c r="H224" s="567"/>
      <c r="I224" s="567"/>
      <c r="J224" s="567"/>
      <c r="K224" s="567"/>
    </row>
    <row r="225" spans="4:11" ht="12.75" customHeight="1" x14ac:dyDescent="0.25">
      <c r="D225" s="566"/>
      <c r="E225" s="567"/>
      <c r="F225" s="567"/>
      <c r="G225" s="567"/>
      <c r="H225" s="567"/>
      <c r="I225" s="567"/>
      <c r="J225" s="567"/>
      <c r="K225" s="567"/>
    </row>
    <row r="226" spans="4:11" ht="12.75" customHeight="1" x14ac:dyDescent="0.25">
      <c r="D226" s="566"/>
      <c r="E226" s="567"/>
      <c r="F226" s="567"/>
      <c r="G226" s="567"/>
      <c r="H226" s="567"/>
      <c r="I226" s="567"/>
      <c r="J226" s="567"/>
      <c r="K226" s="567"/>
    </row>
    <row r="227" spans="4:11" ht="12.75" customHeight="1" x14ac:dyDescent="0.25">
      <c r="D227" s="566"/>
      <c r="E227" s="567"/>
      <c r="F227" s="567"/>
      <c r="G227" s="567"/>
      <c r="H227" s="567"/>
      <c r="I227" s="567"/>
      <c r="J227" s="567"/>
      <c r="K227" s="567"/>
    </row>
    <row r="228" spans="4:11" ht="12.75" customHeight="1" x14ac:dyDescent="0.25">
      <c r="D228" s="566"/>
      <c r="E228" s="567"/>
      <c r="F228" s="567"/>
      <c r="G228" s="567"/>
      <c r="H228" s="567"/>
      <c r="I228" s="567"/>
      <c r="J228" s="567"/>
      <c r="K228" s="567"/>
    </row>
    <row r="229" spans="4:11" ht="12.75" customHeight="1" x14ac:dyDescent="0.25">
      <c r="D229" s="566"/>
      <c r="E229" s="567"/>
      <c r="F229" s="567"/>
      <c r="G229" s="567"/>
      <c r="H229" s="567"/>
      <c r="I229" s="567"/>
      <c r="J229" s="567"/>
      <c r="K229" s="567"/>
    </row>
    <row r="230" spans="4:11" ht="12.75" customHeight="1" x14ac:dyDescent="0.25">
      <c r="D230" s="566"/>
      <c r="E230" s="567"/>
      <c r="F230" s="567"/>
      <c r="G230" s="567"/>
      <c r="H230" s="567"/>
      <c r="I230" s="567"/>
      <c r="J230" s="567"/>
      <c r="K230" s="567"/>
    </row>
    <row r="231" spans="4:11" ht="12.75" customHeight="1" x14ac:dyDescent="0.25">
      <c r="D231" s="566"/>
      <c r="E231" s="567"/>
      <c r="F231" s="567"/>
      <c r="G231" s="567"/>
      <c r="H231" s="567"/>
      <c r="I231" s="567"/>
      <c r="J231" s="567"/>
      <c r="K231" s="567"/>
    </row>
    <row r="232" spans="4:11" ht="12.75" customHeight="1" x14ac:dyDescent="0.25">
      <c r="D232" s="566"/>
      <c r="E232" s="567"/>
      <c r="F232" s="567"/>
      <c r="G232" s="567"/>
      <c r="H232" s="567"/>
      <c r="I232" s="567"/>
      <c r="J232" s="567"/>
      <c r="K232" s="567"/>
    </row>
    <row r="233" spans="4:11" ht="12.75" customHeight="1" x14ac:dyDescent="0.25">
      <c r="D233" s="566"/>
      <c r="E233" s="567"/>
      <c r="F233" s="567"/>
      <c r="G233" s="567"/>
      <c r="H233" s="567"/>
      <c r="I233" s="567"/>
      <c r="J233" s="567"/>
      <c r="K233" s="567"/>
    </row>
    <row r="234" spans="4:11" ht="12.75" customHeight="1" x14ac:dyDescent="0.25">
      <c r="D234" s="566"/>
      <c r="E234" s="567"/>
      <c r="F234" s="567"/>
      <c r="G234" s="567"/>
      <c r="H234" s="567"/>
      <c r="I234" s="567"/>
      <c r="J234" s="567"/>
      <c r="K234" s="567"/>
    </row>
    <row r="235" spans="4:11" ht="12.75" customHeight="1" x14ac:dyDescent="0.25">
      <c r="D235" s="566"/>
      <c r="E235" s="567"/>
      <c r="F235" s="567"/>
      <c r="G235" s="567"/>
      <c r="H235" s="567"/>
      <c r="I235" s="567"/>
      <c r="J235" s="567"/>
      <c r="K235" s="567"/>
    </row>
    <row r="236" spans="4:11" ht="12.75" customHeight="1" x14ac:dyDescent="0.25">
      <c r="D236" s="566"/>
      <c r="E236" s="567"/>
      <c r="F236" s="567"/>
      <c r="G236" s="567"/>
      <c r="H236" s="567"/>
      <c r="I236" s="567"/>
      <c r="J236" s="567"/>
      <c r="K236" s="567"/>
    </row>
    <row r="237" spans="4:11" ht="12.75" customHeight="1" x14ac:dyDescent="0.25">
      <c r="D237" s="566"/>
      <c r="E237" s="567"/>
      <c r="F237" s="567"/>
      <c r="G237" s="567"/>
      <c r="H237" s="567"/>
      <c r="I237" s="567"/>
      <c r="J237" s="567"/>
      <c r="K237" s="567"/>
    </row>
    <row r="238" spans="4:11" ht="12.75" customHeight="1" x14ac:dyDescent="0.25">
      <c r="D238" s="566"/>
      <c r="E238" s="567"/>
      <c r="F238" s="567"/>
      <c r="G238" s="567"/>
      <c r="H238" s="567"/>
      <c r="I238" s="567"/>
      <c r="J238" s="567"/>
      <c r="K238" s="567"/>
    </row>
    <row r="239" spans="4:11" ht="12.75" customHeight="1" x14ac:dyDescent="0.25">
      <c r="D239" s="566"/>
      <c r="E239" s="567"/>
      <c r="F239" s="567"/>
      <c r="G239" s="567"/>
      <c r="H239" s="567"/>
      <c r="I239" s="567"/>
      <c r="J239" s="567"/>
      <c r="K239" s="567"/>
    </row>
    <row r="240" spans="4:11" ht="12.75" customHeight="1" x14ac:dyDescent="0.25">
      <c r="D240" s="566"/>
      <c r="E240" s="567"/>
      <c r="F240" s="567"/>
      <c r="G240" s="567"/>
      <c r="H240" s="567"/>
      <c r="I240" s="567"/>
      <c r="J240" s="567"/>
      <c r="K240" s="567"/>
    </row>
    <row r="241" spans="4:11" ht="12.75" customHeight="1" x14ac:dyDescent="0.25">
      <c r="D241" s="566"/>
      <c r="E241" s="567"/>
      <c r="F241" s="567"/>
      <c r="G241" s="567"/>
      <c r="H241" s="567"/>
      <c r="I241" s="567"/>
      <c r="J241" s="567"/>
      <c r="K241" s="567"/>
    </row>
    <row r="242" spans="4:11" ht="12.75" customHeight="1" x14ac:dyDescent="0.25">
      <c r="D242" s="566"/>
      <c r="E242" s="567"/>
      <c r="F242" s="567"/>
      <c r="G242" s="567"/>
      <c r="H242" s="567"/>
      <c r="I242" s="567"/>
      <c r="J242" s="567"/>
      <c r="K242" s="567"/>
    </row>
    <row r="243" spans="4:11" ht="12.75" customHeight="1" x14ac:dyDescent="0.25">
      <c r="D243" s="566"/>
      <c r="E243" s="567"/>
      <c r="F243" s="567"/>
      <c r="G243" s="567"/>
      <c r="H243" s="567"/>
      <c r="I243" s="567"/>
      <c r="J243" s="567"/>
      <c r="K243" s="567"/>
    </row>
    <row r="244" spans="4:11" ht="12.75" customHeight="1" x14ac:dyDescent="0.25">
      <c r="D244" s="566"/>
      <c r="E244" s="567"/>
      <c r="F244" s="567"/>
      <c r="G244" s="567"/>
      <c r="H244" s="567"/>
      <c r="I244" s="567"/>
      <c r="J244" s="567"/>
      <c r="K244" s="567"/>
    </row>
    <row r="245" spans="4:11" ht="12.75" customHeight="1" x14ac:dyDescent="0.25">
      <c r="D245" s="566"/>
      <c r="E245" s="567"/>
      <c r="F245" s="567"/>
      <c r="G245" s="567"/>
      <c r="H245" s="567"/>
      <c r="I245" s="567"/>
      <c r="J245" s="567"/>
      <c r="K245" s="567"/>
    </row>
    <row r="246" spans="4:11" ht="12.75" customHeight="1" x14ac:dyDescent="0.25">
      <c r="D246" s="566"/>
      <c r="E246" s="567"/>
      <c r="F246" s="567"/>
      <c r="G246" s="567"/>
      <c r="H246" s="567"/>
      <c r="I246" s="567"/>
      <c r="J246" s="567"/>
      <c r="K246" s="567"/>
    </row>
    <row r="247" spans="4:11" ht="12.75" customHeight="1" x14ac:dyDescent="0.25">
      <c r="D247" s="566"/>
      <c r="E247" s="567"/>
      <c r="F247" s="567"/>
      <c r="G247" s="567"/>
      <c r="H247" s="567"/>
      <c r="I247" s="567"/>
      <c r="J247" s="567"/>
      <c r="K247" s="567"/>
    </row>
  </sheetData>
  <mergeCells count="4">
    <mergeCell ref="A5:C5"/>
    <mergeCell ref="A71:C71"/>
    <mergeCell ref="A98:C98"/>
    <mergeCell ref="A124:C124"/>
  </mergeCells>
  <phoneticPr fontId="13" type="noConversion"/>
  <pageMargins left="0.75" right="0.75" top="1" bottom="1" header="0.5" footer="0.5"/>
  <pageSetup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tabColor indexed="47"/>
    <pageSetUpPr fitToPage="1"/>
  </sheetPr>
  <dimension ref="A1:Q386"/>
  <sheetViews>
    <sheetView zoomScale="96" zoomScaleNormal="100" workbookViewId="0">
      <selection activeCell="A356" sqref="A356"/>
    </sheetView>
  </sheetViews>
  <sheetFormatPr defaultRowHeight="12.75" customHeight="1" x14ac:dyDescent="0.25"/>
  <cols>
    <col min="1" max="1" width="11.6640625" customWidth="1"/>
    <col min="2" max="4" width="10.6640625" customWidth="1"/>
    <col min="5" max="17" width="12.6640625" customWidth="1"/>
  </cols>
  <sheetData>
    <row r="1" spans="1:17" ht="12.75" customHeight="1" x14ac:dyDescent="0.25">
      <c r="A1" s="77" t="s">
        <v>243</v>
      </c>
      <c r="B1" s="3"/>
      <c r="C1" s="3"/>
      <c r="D1" s="3"/>
      <c r="E1" s="13"/>
      <c r="F1" s="13"/>
      <c r="G1" s="13"/>
      <c r="H1" s="13"/>
      <c r="I1" s="65"/>
      <c r="J1" s="63"/>
      <c r="K1" s="63"/>
      <c r="L1" s="64"/>
    </row>
    <row r="2" spans="1:17" ht="12.75" customHeight="1" x14ac:dyDescent="0.25">
      <c r="A2" s="77" t="s">
        <v>151</v>
      </c>
      <c r="B2" s="3"/>
      <c r="C2" s="3"/>
      <c r="D2" s="3"/>
      <c r="E2" s="13"/>
      <c r="F2" s="13"/>
      <c r="G2" s="13"/>
      <c r="H2" s="65"/>
      <c r="I2" s="13"/>
      <c r="J2" s="13"/>
      <c r="K2" s="13"/>
      <c r="L2" s="3"/>
    </row>
    <row r="3" spans="1:17" ht="12.75" customHeight="1" x14ac:dyDescent="0.25">
      <c r="A3" s="77" t="s">
        <v>38</v>
      </c>
      <c r="B3" s="3"/>
      <c r="C3" s="3"/>
      <c r="D3" s="67"/>
      <c r="E3" s="13"/>
      <c r="F3" s="13"/>
      <c r="G3" s="13"/>
      <c r="H3" s="65"/>
      <c r="I3" s="13"/>
      <c r="J3" s="13"/>
      <c r="K3" s="13"/>
      <c r="L3" s="3"/>
    </row>
    <row r="4" spans="1:17" ht="12.75" customHeight="1" thickBot="1" x14ac:dyDescent="0.3">
      <c r="A4" s="78" t="s">
        <v>428</v>
      </c>
      <c r="B4" s="7"/>
      <c r="C4" s="7"/>
      <c r="D4" s="7"/>
      <c r="E4" s="15"/>
      <c r="F4" s="15"/>
      <c r="G4" s="15"/>
      <c r="H4" s="200"/>
      <c r="I4" s="27"/>
      <c r="J4" s="27"/>
      <c r="K4" s="27"/>
      <c r="L4" s="7"/>
    </row>
    <row r="5" spans="1:17" ht="12.75" customHeight="1" x14ac:dyDescent="0.25">
      <c r="A5" s="646" t="s">
        <v>215</v>
      </c>
      <c r="B5" s="646"/>
      <c r="C5" s="646"/>
      <c r="D5" s="242"/>
      <c r="E5" s="281">
        <f>Sum!E$5</f>
        <v>2023</v>
      </c>
      <c r="F5" s="281">
        <f>Sum!F$5</f>
        <v>2024</v>
      </c>
      <c r="G5" s="282">
        <f>Sum!G$5</f>
        <v>2025</v>
      </c>
      <c r="H5" s="281">
        <f>Sum!H$5</f>
        <v>2026</v>
      </c>
      <c r="I5" s="281">
        <f>Sum!I$5</f>
        <v>2027</v>
      </c>
      <c r="J5" s="281">
        <f>Sum!J$5</f>
        <v>2028</v>
      </c>
      <c r="K5" s="281">
        <f>Sum!K$5</f>
        <v>2029</v>
      </c>
      <c r="L5" s="281">
        <f>Sum!L$5</f>
        <v>2030</v>
      </c>
      <c r="M5" s="281">
        <f>Sum!M$5</f>
        <v>2031</v>
      </c>
      <c r="N5" s="281">
        <f>Sum!N$5</f>
        <v>2032</v>
      </c>
      <c r="O5" s="281">
        <f>Sum!O$5</f>
        <v>2033</v>
      </c>
      <c r="P5" s="281">
        <f>Sum!P$5</f>
        <v>2034</v>
      </c>
      <c r="Q5" s="265" t="s">
        <v>224</v>
      </c>
    </row>
    <row r="6" spans="1:17" ht="12.75" customHeight="1" x14ac:dyDescent="0.25">
      <c r="A6" s="16"/>
      <c r="B6" s="3"/>
      <c r="C6" s="3"/>
      <c r="D6" s="3"/>
      <c r="E6" s="13"/>
      <c r="F6" s="13"/>
      <c r="G6" s="153"/>
      <c r="H6" s="13"/>
      <c r="I6" s="13"/>
      <c r="J6" s="13"/>
      <c r="K6" s="13"/>
      <c r="L6" s="13"/>
      <c r="M6" s="13"/>
      <c r="N6" s="13"/>
      <c r="O6" s="13"/>
      <c r="P6" s="13"/>
      <c r="Q6" s="3"/>
    </row>
    <row r="7" spans="1:17" ht="12.75" customHeight="1" x14ac:dyDescent="0.25">
      <c r="A7" s="77" t="s">
        <v>185</v>
      </c>
      <c r="B7" s="3"/>
      <c r="C7" s="3"/>
      <c r="D7" s="3"/>
      <c r="E7" s="20"/>
      <c r="F7" s="13"/>
      <c r="G7" s="172"/>
      <c r="H7" s="13">
        <f>G171</f>
        <v>0</v>
      </c>
      <c r="I7" s="13">
        <f>H171</f>
        <v>0</v>
      </c>
      <c r="J7" s="13">
        <f t="shared" ref="J7:P7" si="0">I171</f>
        <v>0</v>
      </c>
      <c r="K7" s="13">
        <f t="shared" si="0"/>
        <v>0</v>
      </c>
      <c r="L7" s="13">
        <f t="shared" si="0"/>
        <v>0</v>
      </c>
      <c r="M7" s="13">
        <f t="shared" si="0"/>
        <v>0</v>
      </c>
      <c r="N7" s="13">
        <f t="shared" si="0"/>
        <v>0</v>
      </c>
      <c r="O7" s="13">
        <f t="shared" si="0"/>
        <v>0</v>
      </c>
      <c r="P7" s="13">
        <f t="shared" si="0"/>
        <v>0</v>
      </c>
      <c r="Q7" s="3"/>
    </row>
    <row r="8" spans="1:17" ht="12.75" customHeight="1" x14ac:dyDescent="0.25">
      <c r="A8" s="77"/>
      <c r="B8" s="3"/>
      <c r="C8" s="3"/>
      <c r="D8" s="3"/>
      <c r="E8" s="20"/>
      <c r="F8" s="13"/>
      <c r="G8" s="153"/>
      <c r="H8" s="13"/>
      <c r="I8" s="13"/>
      <c r="J8" s="13"/>
      <c r="K8" s="13"/>
      <c r="L8" s="13"/>
      <c r="M8" s="13"/>
      <c r="N8" s="13"/>
      <c r="O8" s="13"/>
      <c r="P8" s="13"/>
      <c r="Q8" s="3"/>
    </row>
    <row r="9" spans="1:17" ht="12.75" customHeight="1" x14ac:dyDescent="0.25">
      <c r="A9" s="77" t="s">
        <v>227</v>
      </c>
      <c r="B9" s="3"/>
      <c r="C9" s="3"/>
      <c r="D9" s="3"/>
      <c r="E9" s="20"/>
      <c r="F9" s="13"/>
      <c r="G9" s="153"/>
      <c r="H9" s="13"/>
      <c r="I9" s="13"/>
      <c r="J9" s="13"/>
      <c r="K9" s="13"/>
      <c r="L9" s="13"/>
      <c r="M9" s="13"/>
      <c r="N9" s="13"/>
      <c r="O9" s="13"/>
      <c r="P9" s="13"/>
      <c r="Q9" s="3"/>
    </row>
    <row r="10" spans="1:17" ht="12.75" customHeight="1" x14ac:dyDescent="0.25">
      <c r="A10" s="62"/>
      <c r="B10" s="3" t="s">
        <v>267</v>
      </c>
      <c r="C10" s="3"/>
      <c r="D10" s="3"/>
      <c r="E10" s="12"/>
      <c r="F10" s="12"/>
      <c r="G10" s="172">
        <f>G167</f>
        <v>0</v>
      </c>
      <c r="H10" s="13">
        <f t="shared" ref="H10:I10" si="1">H167</f>
        <v>25000</v>
      </c>
      <c r="I10" s="13">
        <f t="shared" si="1"/>
        <v>25000</v>
      </c>
      <c r="J10" s="13">
        <f t="shared" ref="J10:P10" si="2">J167</f>
        <v>25000</v>
      </c>
      <c r="K10" s="13">
        <f t="shared" si="2"/>
        <v>25000</v>
      </c>
      <c r="L10" s="13">
        <f t="shared" si="2"/>
        <v>25000</v>
      </c>
      <c r="M10" s="13">
        <f t="shared" si="2"/>
        <v>25000</v>
      </c>
      <c r="N10" s="13">
        <f t="shared" si="2"/>
        <v>25000</v>
      </c>
      <c r="O10" s="13">
        <f t="shared" si="2"/>
        <v>25000</v>
      </c>
      <c r="P10" s="13">
        <f t="shared" si="2"/>
        <v>25000</v>
      </c>
      <c r="Q10" s="3"/>
    </row>
    <row r="11" spans="1:17" ht="12.75" customHeight="1" x14ac:dyDescent="0.25">
      <c r="A11" s="62"/>
      <c r="B11" s="3"/>
      <c r="C11" s="3"/>
      <c r="D11" s="3"/>
      <c r="E11" s="12"/>
      <c r="F11" s="12"/>
      <c r="G11" s="172"/>
      <c r="H11" s="13"/>
      <c r="I11" s="13"/>
      <c r="J11" s="13"/>
      <c r="K11" s="13"/>
      <c r="L11" s="13"/>
      <c r="M11" s="13"/>
      <c r="N11" s="13"/>
      <c r="O11" s="13"/>
      <c r="P11" s="13"/>
      <c r="Q11" s="3"/>
    </row>
    <row r="12" spans="1:17" ht="12.75" customHeight="1" x14ac:dyDescent="0.25">
      <c r="A12" s="62"/>
      <c r="B12" s="3"/>
      <c r="C12" s="3"/>
      <c r="D12" s="3"/>
      <c r="E12" s="12"/>
      <c r="F12" s="12"/>
      <c r="G12" s="172"/>
      <c r="H12" s="13"/>
      <c r="I12" s="13"/>
      <c r="J12" s="13"/>
      <c r="K12" s="13"/>
      <c r="L12" s="13"/>
      <c r="M12" s="13"/>
      <c r="N12" s="13"/>
      <c r="O12" s="13"/>
      <c r="P12" s="13"/>
      <c r="Q12" s="3"/>
    </row>
    <row r="13" spans="1:17" ht="12.75" customHeight="1" x14ac:dyDescent="0.25">
      <c r="A13" s="62"/>
      <c r="B13" s="22"/>
      <c r="C13" s="22"/>
      <c r="D13" s="22"/>
      <c r="E13" s="87"/>
      <c r="F13" s="87"/>
      <c r="G13" s="173"/>
      <c r="H13" s="30"/>
      <c r="I13" s="30"/>
      <c r="J13" s="30"/>
      <c r="K13" s="30"/>
      <c r="L13" s="30"/>
      <c r="M13" s="30"/>
      <c r="N13" s="30"/>
      <c r="O13" s="30"/>
      <c r="P13" s="30"/>
      <c r="Q13" s="3"/>
    </row>
    <row r="14" spans="1:17" ht="12.75" customHeight="1" x14ac:dyDescent="0.25">
      <c r="A14" s="77"/>
      <c r="B14" s="29" t="s">
        <v>238</v>
      </c>
      <c r="C14" s="29"/>
      <c r="D14" s="29"/>
      <c r="E14" s="346">
        <f t="shared" ref="E14:P14" si="3">SUM(E10:E13)</f>
        <v>0</v>
      </c>
      <c r="F14" s="346">
        <f t="shared" si="3"/>
        <v>0</v>
      </c>
      <c r="G14" s="176">
        <f t="shared" si="3"/>
        <v>0</v>
      </c>
      <c r="H14" s="149">
        <f t="shared" si="3"/>
        <v>25000</v>
      </c>
      <c r="I14" s="149">
        <f t="shared" si="3"/>
        <v>25000</v>
      </c>
      <c r="J14" s="149">
        <f t="shared" si="3"/>
        <v>25000</v>
      </c>
      <c r="K14" s="149">
        <f t="shared" si="3"/>
        <v>25000</v>
      </c>
      <c r="L14" s="149">
        <f t="shared" si="3"/>
        <v>25000</v>
      </c>
      <c r="M14" s="149">
        <f t="shared" si="3"/>
        <v>25000</v>
      </c>
      <c r="N14" s="149">
        <f t="shared" si="3"/>
        <v>25000</v>
      </c>
      <c r="O14" s="149">
        <f t="shared" si="3"/>
        <v>25000</v>
      </c>
      <c r="P14" s="149">
        <f t="shared" si="3"/>
        <v>25000</v>
      </c>
      <c r="Q14" s="3"/>
    </row>
    <row r="15" spans="1:17" ht="12.75" customHeight="1" x14ac:dyDescent="0.25">
      <c r="A15" s="16"/>
      <c r="B15" s="3"/>
      <c r="C15" s="3"/>
      <c r="D15" s="3"/>
      <c r="E15" s="13"/>
      <c r="F15" s="13"/>
      <c r="G15" s="153"/>
      <c r="H15" s="13"/>
      <c r="I15" s="13"/>
      <c r="J15" s="13"/>
      <c r="K15" s="13"/>
      <c r="L15" s="13"/>
      <c r="M15" s="13"/>
      <c r="N15" s="13"/>
      <c r="O15" s="13"/>
      <c r="P15" s="13"/>
      <c r="Q15" s="3"/>
    </row>
    <row r="16" spans="1:17" ht="12.75" customHeight="1" x14ac:dyDescent="0.25">
      <c r="A16" s="77" t="s">
        <v>228</v>
      </c>
      <c r="B16" s="3"/>
      <c r="C16" s="3"/>
      <c r="D16" s="3"/>
      <c r="E16" s="13"/>
      <c r="F16" s="13"/>
      <c r="G16" s="153"/>
      <c r="H16" s="13"/>
      <c r="I16" s="13"/>
      <c r="J16" s="13"/>
      <c r="K16" s="13"/>
      <c r="L16" s="13"/>
      <c r="M16" s="13"/>
      <c r="N16" s="13"/>
      <c r="O16" s="13"/>
      <c r="P16" s="13"/>
      <c r="Q16" s="3"/>
    </row>
    <row r="17" spans="1:17" ht="12.75" customHeight="1" x14ac:dyDescent="0.25">
      <c r="A17" s="18"/>
      <c r="B17" s="13" t="str">
        <f>IF(AND(Sum!$F398="Yes",Sum!$G398="Cash"),Sum!$B398,"")</f>
        <v/>
      </c>
      <c r="C17" s="13"/>
      <c r="D17" s="13"/>
      <c r="E17" s="13"/>
      <c r="F17" s="13"/>
      <c r="G17" s="153">
        <f>IF(AND(Sum!$F398="Yes",Sum!$G398="Cash",Sum!H$397=G$5),Sum!H398,0)</f>
        <v>0</v>
      </c>
      <c r="H17" s="13">
        <f>IF(AND(Sum!$F398="Yes",Sum!$G398="Cash",Sum!I$397=H$5),Sum!I398,0)</f>
        <v>0</v>
      </c>
      <c r="I17" s="13">
        <f>IF(AND(Sum!$F398="Yes",Sum!$G398="Cash",Sum!J$397=I$5),Sum!J398,0)</f>
        <v>0</v>
      </c>
      <c r="J17" s="13">
        <f>IF(AND(Sum!$F398="Yes",Sum!$G398="Cash",Sum!K$397=J$5),Sum!K398,0)</f>
        <v>0</v>
      </c>
      <c r="K17" s="13">
        <f>IF(AND(Sum!$F398="Yes",Sum!$G398="Cash",Sum!L$397=K$5),Sum!L398,0)</f>
        <v>0</v>
      </c>
      <c r="L17" s="13">
        <f>IF(AND(Sum!$F398="Yes",Sum!$G398="Cash",Sum!M$397=L$5),Sum!M398,0)</f>
        <v>0</v>
      </c>
      <c r="M17" s="13">
        <f>IF(AND(Sum!$F398="Yes",Sum!$G398="Cash",Sum!N$397=M$5),Sum!N398,0)</f>
        <v>0</v>
      </c>
      <c r="N17" s="13">
        <f>IF(AND(Sum!$F398="Yes",Sum!$G398="Cash",Sum!O$397=N$5),Sum!O398,0)</f>
        <v>0</v>
      </c>
      <c r="O17" s="13">
        <f>IF(AND(Sum!$F398="Yes",Sum!$G398="Cash",Sum!P$397=O$5),Sum!P398,0)</f>
        <v>0</v>
      </c>
      <c r="P17" s="13">
        <f>IF(AND(Sum!$F398="Yes",Sum!$G398="Cash",Sum!Q$397=P$5),Sum!Q398,0)</f>
        <v>0</v>
      </c>
      <c r="Q17" s="264" t="str">
        <f>IF(AND(Sum!$F398="Yes",Sum!$G398="Cash"),Sum!$E398,"")</f>
        <v/>
      </c>
    </row>
    <row r="18" spans="1:17" ht="12.75" customHeight="1" x14ac:dyDescent="0.25">
      <c r="A18" s="18"/>
      <c r="B18" s="13" t="str">
        <f>IF(AND(Sum!$F399="Yes",Sum!$G399="Cash"),Sum!$B399,"")</f>
        <v>Emergency Repairs</v>
      </c>
      <c r="C18" s="13"/>
      <c r="D18" s="13"/>
      <c r="E18" s="13"/>
      <c r="F18" s="13"/>
      <c r="G18" s="153">
        <f>IF(AND(Sum!$F399="Yes",Sum!$G399="Cash",Sum!H$397=G$5),Sum!H399,0)</f>
        <v>0</v>
      </c>
      <c r="H18" s="13">
        <f>IF(AND(Sum!$F399="Yes",Sum!$G399="Cash",Sum!I$397=H$5),Sum!I399,0)</f>
        <v>25000</v>
      </c>
      <c r="I18" s="13">
        <f>IF(AND(Sum!$F399="Yes",Sum!$G399="Cash",Sum!J$397=I$5),Sum!J399,0)</f>
        <v>25000</v>
      </c>
      <c r="J18" s="13">
        <f>IF(AND(Sum!$F399="Yes",Sum!$G399="Cash",Sum!K$397=J$5),Sum!K399,0)</f>
        <v>25000</v>
      </c>
      <c r="K18" s="13">
        <f>IF(AND(Sum!$F399="Yes",Sum!$G399="Cash",Sum!L$397=K$5),Sum!L399,0)</f>
        <v>25000</v>
      </c>
      <c r="L18" s="13">
        <f>IF(AND(Sum!$F399="Yes",Sum!$G399="Cash",Sum!M$397=L$5),Sum!M399,0)</f>
        <v>25000</v>
      </c>
      <c r="M18" s="13">
        <f>IF(AND(Sum!$F399="Yes",Sum!$G399="Cash",Sum!N$397=M$5),Sum!N399,0)</f>
        <v>25000</v>
      </c>
      <c r="N18" s="13">
        <f>IF(AND(Sum!$F399="Yes",Sum!$G399="Cash",Sum!O$397=N$5),Sum!O399,0)</f>
        <v>25000</v>
      </c>
      <c r="O18" s="13">
        <f>IF(AND(Sum!$F399="Yes",Sum!$G399="Cash",Sum!P$397=O$5),Sum!P399,0)</f>
        <v>25000</v>
      </c>
      <c r="P18" s="13">
        <f>IF(AND(Sum!$F399="Yes",Sum!$G399="Cash",Sum!Q$397=P$5),Sum!Q399,0)</f>
        <v>25000</v>
      </c>
      <c r="Q18" s="264" t="str">
        <f>IF(AND(Sum!$F399="Yes",Sum!$G399="Cash"),Sum!$E399,"")</f>
        <v>PS&amp;T</v>
      </c>
    </row>
    <row r="19" spans="1:17" ht="12.75" customHeight="1" x14ac:dyDescent="0.25">
      <c r="A19" s="18"/>
      <c r="B19" s="13" t="str">
        <f>IF(AND(Sum!$F400="Yes",Sum!$G400="Cash"),Sum!$B400,"")</f>
        <v/>
      </c>
      <c r="C19" s="13"/>
      <c r="D19" s="13"/>
      <c r="E19" s="13"/>
      <c r="F19" s="13"/>
      <c r="G19" s="153">
        <f>IF(AND(Sum!$F400="Yes",Sum!$G400="Cash",Sum!H$397=G$5),Sum!H400,0)</f>
        <v>0</v>
      </c>
      <c r="H19" s="13">
        <f>IF(AND(Sum!$F400="Yes",Sum!$G400="Cash",Sum!I$397=H$5),Sum!I400,0)</f>
        <v>0</v>
      </c>
      <c r="I19" s="13">
        <f>IF(AND(Sum!$F400="Yes",Sum!$G400="Cash",Sum!J$397=I$5),Sum!J400,0)</f>
        <v>0</v>
      </c>
      <c r="J19" s="13">
        <f>IF(AND(Sum!$F400="Yes",Sum!$G400="Cash",Sum!K$397=J$5),Sum!K400,0)</f>
        <v>0</v>
      </c>
      <c r="K19" s="13">
        <f>IF(AND(Sum!$F400="Yes",Sum!$G400="Cash",Sum!L$397=K$5),Sum!L400,0)</f>
        <v>0</v>
      </c>
      <c r="L19" s="13">
        <f>IF(AND(Sum!$F400="Yes",Sum!$G400="Cash",Sum!M$397=L$5),Sum!M400,0)</f>
        <v>0</v>
      </c>
      <c r="M19" s="13">
        <f>IF(AND(Sum!$F400="Yes",Sum!$G400="Cash",Sum!N$397=M$5),Sum!N400,0)</f>
        <v>0</v>
      </c>
      <c r="N19" s="13">
        <f>IF(AND(Sum!$F400="Yes",Sum!$G400="Cash",Sum!O$397=N$5),Sum!O400,0)</f>
        <v>0</v>
      </c>
      <c r="O19" s="13">
        <f>IF(AND(Sum!$F400="Yes",Sum!$G400="Cash",Sum!P$397=O$5),Sum!P400,0)</f>
        <v>0</v>
      </c>
      <c r="P19" s="13">
        <f>IF(AND(Sum!$F400="Yes",Sum!$G400="Cash",Sum!Q$397=P$5),Sum!Q400,0)</f>
        <v>0</v>
      </c>
      <c r="Q19" s="264" t="str">
        <f>IF(AND(Sum!$F400="Yes",Sum!$G400="Cash"),Sum!$E400,"")</f>
        <v/>
      </c>
    </row>
    <row r="20" spans="1:17" ht="12.75" customHeight="1" x14ac:dyDescent="0.25">
      <c r="A20" s="18"/>
      <c r="B20" s="13" t="str">
        <f>IF(AND(Sum!$F401="Yes",Sum!$G401="Cash"),Sum!$B401,"")</f>
        <v/>
      </c>
      <c r="C20" s="13"/>
      <c r="D20" s="13"/>
      <c r="E20" s="13"/>
      <c r="F20" s="13"/>
      <c r="G20" s="153">
        <f>IF(AND(Sum!$F401="Yes",Sum!$G401="Cash",Sum!H$397=G$5),Sum!H401,0)</f>
        <v>0</v>
      </c>
      <c r="H20" s="13">
        <f>IF(AND(Sum!$F401="Yes",Sum!$G401="Cash",Sum!I$397=H$5),Sum!I401,0)</f>
        <v>0</v>
      </c>
      <c r="I20" s="13">
        <f>IF(AND(Sum!$F401="Yes",Sum!$G401="Cash",Sum!J$397=I$5),Sum!J401,0)</f>
        <v>0</v>
      </c>
      <c r="J20" s="13">
        <f>IF(AND(Sum!$F401="Yes",Sum!$G401="Cash",Sum!K$397=J$5),Sum!K401,0)</f>
        <v>0</v>
      </c>
      <c r="K20" s="13">
        <f>IF(AND(Sum!$F401="Yes",Sum!$G401="Cash",Sum!L$397=K$5),Sum!L401,0)</f>
        <v>0</v>
      </c>
      <c r="L20" s="13">
        <f>IF(AND(Sum!$F401="Yes",Sum!$G401="Cash",Sum!M$397=L$5),Sum!M401,0)</f>
        <v>0</v>
      </c>
      <c r="M20" s="13">
        <f>IF(AND(Sum!$F401="Yes",Sum!$G401="Cash",Sum!N$397=M$5),Sum!N401,0)</f>
        <v>0</v>
      </c>
      <c r="N20" s="13">
        <f>IF(AND(Sum!$F401="Yes",Sum!$G401="Cash",Sum!O$397=N$5),Sum!O401,0)</f>
        <v>0</v>
      </c>
      <c r="O20" s="13">
        <f>IF(AND(Sum!$F401="Yes",Sum!$G401="Cash",Sum!P$397=O$5),Sum!P401,0)</f>
        <v>0</v>
      </c>
      <c r="P20" s="13">
        <f>IF(AND(Sum!$F401="Yes",Sum!$G401="Cash",Sum!Q$397=P$5),Sum!Q401,0)</f>
        <v>0</v>
      </c>
      <c r="Q20" s="264" t="str">
        <f>IF(AND(Sum!$F401="Yes",Sum!$G401="Cash"),Sum!$E401,"")</f>
        <v/>
      </c>
    </row>
    <row r="21" spans="1:17" ht="12.75" customHeight="1" x14ac:dyDescent="0.25">
      <c r="A21" s="18"/>
      <c r="B21" s="13" t="str">
        <f>IF(AND(Sum!$F402="Yes",Sum!$G402="Cash"),Sum!$B402,"")</f>
        <v/>
      </c>
      <c r="C21" s="13"/>
      <c r="D21" s="13"/>
      <c r="E21" s="13"/>
      <c r="F21" s="13"/>
      <c r="G21" s="153">
        <f>IF(AND(Sum!$F402="Yes",Sum!$G402="Cash",Sum!H$397=G$5),Sum!H402,0)</f>
        <v>0</v>
      </c>
      <c r="H21" s="13">
        <f>IF(AND(Sum!$F402="Yes",Sum!$G402="Cash",Sum!I$397=H$5),Sum!I402,0)</f>
        <v>0</v>
      </c>
      <c r="I21" s="13">
        <f>IF(AND(Sum!$F402="Yes",Sum!$G402="Cash",Sum!J$397=I$5),Sum!J402,0)</f>
        <v>0</v>
      </c>
      <c r="J21" s="13">
        <f>IF(AND(Sum!$F402="Yes",Sum!$G402="Cash",Sum!K$397=J$5),Sum!K402,0)</f>
        <v>0</v>
      </c>
      <c r="K21" s="13">
        <f>IF(AND(Sum!$F402="Yes",Sum!$G402="Cash",Sum!L$397=K$5),Sum!L402,0)</f>
        <v>0</v>
      </c>
      <c r="L21" s="13">
        <f>IF(AND(Sum!$F402="Yes",Sum!$G402="Cash",Sum!M$397=L$5),Sum!M402,0)</f>
        <v>0</v>
      </c>
      <c r="M21" s="13">
        <f>IF(AND(Sum!$F402="Yes",Sum!$G402="Cash",Sum!N$397=M$5),Sum!N402,0)</f>
        <v>0</v>
      </c>
      <c r="N21" s="13">
        <f>IF(AND(Sum!$F402="Yes",Sum!$G402="Cash",Sum!O$397=N$5),Sum!O402,0)</f>
        <v>0</v>
      </c>
      <c r="O21" s="13">
        <f>IF(AND(Sum!$F402="Yes",Sum!$G402="Cash",Sum!P$397=O$5),Sum!P402,0)</f>
        <v>0</v>
      </c>
      <c r="P21" s="13">
        <f>IF(AND(Sum!$F402="Yes",Sum!$G402="Cash",Sum!Q$397=P$5),Sum!Q402,0)</f>
        <v>0</v>
      </c>
      <c r="Q21" s="264" t="str">
        <f>IF(AND(Sum!$F402="Yes",Sum!$G402="Cash"),Sum!$E402,"")</f>
        <v/>
      </c>
    </row>
    <row r="22" spans="1:17" ht="12.75" customHeight="1" x14ac:dyDescent="0.25">
      <c r="A22" s="18"/>
      <c r="B22" s="13" t="str">
        <f>IF(AND(Sum!$F403="Yes",Sum!$G403="Cash"),Sum!$B403,"")</f>
        <v/>
      </c>
      <c r="C22" s="13"/>
      <c r="D22" s="13"/>
      <c r="E22" s="13"/>
      <c r="F22" s="13"/>
      <c r="G22" s="153">
        <f>IF(AND(Sum!$F403="Yes",Sum!$G403="Cash",Sum!H$397=G$5),Sum!H403,0)</f>
        <v>0</v>
      </c>
      <c r="H22" s="13">
        <f>IF(AND(Sum!$F403="Yes",Sum!$G403="Cash",Sum!I$397=H$5),Sum!I403,0)</f>
        <v>0</v>
      </c>
      <c r="I22" s="13">
        <f>IF(AND(Sum!$F403="Yes",Sum!$G403="Cash",Sum!J$397=I$5),Sum!J403,0)</f>
        <v>0</v>
      </c>
      <c r="J22" s="13">
        <f>IF(AND(Sum!$F403="Yes",Sum!$G403="Cash",Sum!K$397=J$5),Sum!K403,0)</f>
        <v>0</v>
      </c>
      <c r="K22" s="13">
        <f>IF(AND(Sum!$F403="Yes",Sum!$G403="Cash",Sum!L$397=K$5),Sum!L403,0)</f>
        <v>0</v>
      </c>
      <c r="L22" s="13">
        <f>IF(AND(Sum!$F403="Yes",Sum!$G403="Cash",Sum!M$397=L$5),Sum!M403,0)</f>
        <v>0</v>
      </c>
      <c r="M22" s="13">
        <f>IF(AND(Sum!$F403="Yes",Sum!$G403="Cash",Sum!N$397=M$5),Sum!N403,0)</f>
        <v>0</v>
      </c>
      <c r="N22" s="13">
        <f>IF(AND(Sum!$F403="Yes",Sum!$G403="Cash",Sum!O$397=N$5),Sum!O403,0)</f>
        <v>0</v>
      </c>
      <c r="O22" s="13">
        <f>IF(AND(Sum!$F403="Yes",Sum!$G403="Cash",Sum!P$397=O$5),Sum!P403,0)</f>
        <v>0</v>
      </c>
      <c r="P22" s="13">
        <f>IF(AND(Sum!$F403="Yes",Sum!$G403="Cash",Sum!Q$397=P$5),Sum!Q403,0)</f>
        <v>0</v>
      </c>
      <c r="Q22" s="264" t="str">
        <f>IF(AND(Sum!$F403="Yes",Sum!$G403="Cash"),Sum!$E403,"")</f>
        <v/>
      </c>
    </row>
    <row r="23" spans="1:17" ht="12.75" customHeight="1" x14ac:dyDescent="0.25">
      <c r="A23" s="18"/>
      <c r="B23" s="13" t="str">
        <f>IF(AND(Sum!$F404="Yes",Sum!$G404="Cash"),Sum!$B404,"")</f>
        <v>Other Cash Funded Projects</v>
      </c>
      <c r="C23" s="13"/>
      <c r="D23" s="13"/>
      <c r="E23" s="13"/>
      <c r="F23" s="13"/>
      <c r="G23" s="153">
        <f>IF(AND(Sum!$F404="Yes",Sum!$G404="Cash",Sum!H$397=G$5),Sum!H404,0)</f>
        <v>0</v>
      </c>
      <c r="H23" s="13">
        <f>IF(AND(Sum!$F404="Yes",Sum!$G404="Cash",Sum!I$397=H$5),Sum!I404,0)</f>
        <v>0</v>
      </c>
      <c r="I23" s="13">
        <f>IF(AND(Sum!$F404="Yes",Sum!$G404="Cash",Sum!J$397=I$5),Sum!J404,0)</f>
        <v>0</v>
      </c>
      <c r="J23" s="13">
        <f>IF(AND(Sum!$F404="Yes",Sum!$G404="Cash",Sum!K$397=J$5),Sum!K404,0)</f>
        <v>0</v>
      </c>
      <c r="K23" s="13">
        <f>IF(AND(Sum!$F404="Yes",Sum!$G404="Cash",Sum!L$397=K$5),Sum!L404,0)</f>
        <v>0</v>
      </c>
      <c r="L23" s="13">
        <f>IF(AND(Sum!$F404="Yes",Sum!$G404="Cash",Sum!M$397=L$5),Sum!M404,0)</f>
        <v>0</v>
      </c>
      <c r="M23" s="13">
        <f>IF(AND(Sum!$F404="Yes",Sum!$G404="Cash",Sum!N$397=M$5),Sum!N404,0)</f>
        <v>0</v>
      </c>
      <c r="N23" s="13">
        <f>IF(AND(Sum!$F404="Yes",Sum!$G404="Cash",Sum!O$397=N$5),Sum!O404,0)</f>
        <v>0</v>
      </c>
      <c r="O23" s="13">
        <f>IF(AND(Sum!$F404="Yes",Sum!$G404="Cash",Sum!P$397=O$5),Sum!P404,0)</f>
        <v>0</v>
      </c>
      <c r="P23" s="13">
        <f>IF(AND(Sum!$F404="Yes",Sum!$G404="Cash",Sum!Q$397=P$5),Sum!Q404,0)</f>
        <v>0</v>
      </c>
      <c r="Q23" s="264" t="str">
        <f>IF(AND(Sum!$F404="Yes",Sum!$G404="Cash"),Sum!$E404,"")</f>
        <v>PS&amp;T</v>
      </c>
    </row>
    <row r="24" spans="1:17" ht="12.75" customHeight="1" x14ac:dyDescent="0.25">
      <c r="A24" s="18"/>
      <c r="B24" s="13" t="str">
        <f>IF(AND(Sum!$F405="Yes",Sum!$G405="Cash"),Sum!$B405,"")</f>
        <v/>
      </c>
      <c r="C24" s="13"/>
      <c r="D24" s="13"/>
      <c r="E24" s="13"/>
      <c r="F24" s="13"/>
      <c r="G24" s="153">
        <f>IF(AND(Sum!$F405="Yes",Sum!$G405="Cash",Sum!H$397=G$5),Sum!H405,0)</f>
        <v>0</v>
      </c>
      <c r="H24" s="13">
        <f>IF(AND(Sum!$F405="Yes",Sum!$G405="Cash",Sum!I$397=H$5),Sum!I405,0)</f>
        <v>0</v>
      </c>
      <c r="I24" s="13">
        <f>IF(AND(Sum!$F405="Yes",Sum!$G405="Cash",Sum!J$397=I$5),Sum!J405,0)</f>
        <v>0</v>
      </c>
      <c r="J24" s="13">
        <f>IF(AND(Sum!$F405="Yes",Sum!$G405="Cash",Sum!K$397=J$5),Sum!K405,0)</f>
        <v>0</v>
      </c>
      <c r="K24" s="13">
        <f>IF(AND(Sum!$F405="Yes",Sum!$G405="Cash",Sum!L$397=K$5),Sum!L405,0)</f>
        <v>0</v>
      </c>
      <c r="L24" s="13">
        <f>IF(AND(Sum!$F405="Yes",Sum!$G405="Cash",Sum!M$397=L$5),Sum!M405,0)</f>
        <v>0</v>
      </c>
      <c r="M24" s="13">
        <f>IF(AND(Sum!$F405="Yes",Sum!$G405="Cash",Sum!N$397=M$5),Sum!N405,0)</f>
        <v>0</v>
      </c>
      <c r="N24" s="13">
        <f>IF(AND(Sum!$F405="Yes",Sum!$G405="Cash",Sum!O$397=N$5),Sum!O405,0)</f>
        <v>0</v>
      </c>
      <c r="O24" s="13">
        <f>IF(AND(Sum!$F405="Yes",Sum!$G405="Cash",Sum!P$397=O$5),Sum!P405,0)</f>
        <v>0</v>
      </c>
      <c r="P24" s="13">
        <f>IF(AND(Sum!$F405="Yes",Sum!$G405="Cash",Sum!Q$397=P$5),Sum!Q405,0)</f>
        <v>0</v>
      </c>
      <c r="Q24" s="264" t="str">
        <f>IF(AND(Sum!$F405="Yes",Sum!$G405="Cash"),Sum!$E405,"")</f>
        <v/>
      </c>
    </row>
    <row r="25" spans="1:17" ht="12.75" customHeight="1" x14ac:dyDescent="0.25">
      <c r="A25" s="18"/>
      <c r="B25" s="13" t="str">
        <f>IF(AND(Sum!$F406="Yes",Sum!$G406="Cash"),Sum!$B406,"")</f>
        <v/>
      </c>
      <c r="C25" s="13"/>
      <c r="D25" s="13"/>
      <c r="E25" s="13"/>
      <c r="F25" s="13"/>
      <c r="G25" s="153">
        <f>IF(AND(Sum!$F406="Yes",Sum!$G406="Cash",Sum!H$397=G$5),Sum!H406,0)</f>
        <v>0</v>
      </c>
      <c r="H25" s="13">
        <f>IF(AND(Sum!$F406="Yes",Sum!$G406="Cash",Sum!I$397=H$5),Sum!I406,0)</f>
        <v>0</v>
      </c>
      <c r="I25" s="13">
        <f>IF(AND(Sum!$F406="Yes",Sum!$G406="Cash",Sum!J$397=I$5),Sum!J406,0)</f>
        <v>0</v>
      </c>
      <c r="J25" s="13">
        <f>IF(AND(Sum!$F406="Yes",Sum!$G406="Cash",Sum!K$397=J$5),Sum!K406,0)</f>
        <v>0</v>
      </c>
      <c r="K25" s="13">
        <f>IF(AND(Sum!$F406="Yes",Sum!$G406="Cash",Sum!L$397=K$5),Sum!L406,0)</f>
        <v>0</v>
      </c>
      <c r="L25" s="13">
        <f>IF(AND(Sum!$F406="Yes",Sum!$G406="Cash",Sum!M$397=L$5),Sum!M406,0)</f>
        <v>0</v>
      </c>
      <c r="M25" s="13">
        <f>IF(AND(Sum!$F406="Yes",Sum!$G406="Cash",Sum!N$397=M$5),Sum!N406,0)</f>
        <v>0</v>
      </c>
      <c r="N25" s="13">
        <f>IF(AND(Sum!$F406="Yes",Sum!$G406="Cash",Sum!O$397=N$5),Sum!O406,0)</f>
        <v>0</v>
      </c>
      <c r="O25" s="13">
        <f>IF(AND(Sum!$F406="Yes",Sum!$G406="Cash",Sum!P$397=O$5),Sum!P406,0)</f>
        <v>0</v>
      </c>
      <c r="P25" s="13">
        <f>IF(AND(Sum!$F406="Yes",Sum!$G406="Cash",Sum!Q$397=P$5),Sum!Q406,0)</f>
        <v>0</v>
      </c>
      <c r="Q25" s="264" t="str">
        <f>IF(AND(Sum!$F406="Yes",Sum!$G406="Cash"),Sum!$E406,"")</f>
        <v/>
      </c>
    </row>
    <row r="26" spans="1:17" ht="12.75" customHeight="1" x14ac:dyDescent="0.25">
      <c r="A26" s="18"/>
      <c r="B26" s="13" t="str">
        <f>IF(AND(Sum!$F407="Yes",Sum!$G407="Cash"),Sum!$B407,"")</f>
        <v/>
      </c>
      <c r="C26" s="13"/>
      <c r="D26" s="13"/>
      <c r="E26" s="13"/>
      <c r="F26" s="13"/>
      <c r="G26" s="153">
        <f>IF(AND(Sum!$F407="Yes",Sum!$G407="Cash",Sum!H$397=G$5),Sum!H407,0)</f>
        <v>0</v>
      </c>
      <c r="H26" s="13">
        <f>IF(AND(Sum!$F407="Yes",Sum!$G407="Cash",Sum!I$397=H$5),Sum!I407,0)</f>
        <v>0</v>
      </c>
      <c r="I26" s="13">
        <f>IF(AND(Sum!$F407="Yes",Sum!$G407="Cash",Sum!J$397=I$5),Sum!J407,0)</f>
        <v>0</v>
      </c>
      <c r="J26" s="13">
        <f>IF(AND(Sum!$F407="Yes",Sum!$G407="Cash",Sum!K$397=J$5),Sum!K407,0)</f>
        <v>0</v>
      </c>
      <c r="K26" s="13">
        <f>IF(AND(Sum!$F407="Yes",Sum!$G407="Cash",Sum!L$397=K$5),Sum!L407,0)</f>
        <v>0</v>
      </c>
      <c r="L26" s="13">
        <f>IF(AND(Sum!$F407="Yes",Sum!$G407="Cash",Sum!M$397=L$5),Sum!M407,0)</f>
        <v>0</v>
      </c>
      <c r="M26" s="13">
        <f>IF(AND(Sum!$F407="Yes",Sum!$G407="Cash",Sum!N$397=M$5),Sum!N407,0)</f>
        <v>0</v>
      </c>
      <c r="N26" s="13">
        <f>IF(AND(Sum!$F407="Yes",Sum!$G407="Cash",Sum!O$397=N$5),Sum!O407,0)</f>
        <v>0</v>
      </c>
      <c r="O26" s="13">
        <f>IF(AND(Sum!$F407="Yes",Sum!$G407="Cash",Sum!P$397=O$5),Sum!P407,0)</f>
        <v>0</v>
      </c>
      <c r="P26" s="13">
        <f>IF(AND(Sum!$F407="Yes",Sum!$G407="Cash",Sum!Q$397=P$5),Sum!Q407,0)</f>
        <v>0</v>
      </c>
      <c r="Q26" s="264" t="str">
        <f>IF(AND(Sum!$F407="Yes",Sum!$G407="Cash"),Sum!$E407,"")</f>
        <v/>
      </c>
    </row>
    <row r="27" spans="1:17" ht="12.75" customHeight="1" x14ac:dyDescent="0.25">
      <c r="A27" s="18"/>
      <c r="B27" s="13" t="str">
        <f>IF(AND(Sum!$F408="Yes",Sum!$G408="Cash"),Sum!$B408,"")</f>
        <v/>
      </c>
      <c r="C27" s="13"/>
      <c r="D27" s="13"/>
      <c r="E27" s="13"/>
      <c r="F27" s="13"/>
      <c r="G27" s="153">
        <f>IF(AND(Sum!$F408="Yes",Sum!$G408="Cash",Sum!H$397=G$5),Sum!H408,0)</f>
        <v>0</v>
      </c>
      <c r="H27" s="13">
        <f>IF(AND(Sum!$F408="Yes",Sum!$G408="Cash",Sum!I$397=H$5),Sum!I408,0)</f>
        <v>0</v>
      </c>
      <c r="I27" s="13">
        <f>IF(AND(Sum!$F408="Yes",Sum!$G408="Cash",Sum!J$397=I$5),Sum!J408,0)</f>
        <v>0</v>
      </c>
      <c r="J27" s="13">
        <f>IF(AND(Sum!$F408="Yes",Sum!$G408="Cash",Sum!K$397=J$5),Sum!K408,0)</f>
        <v>0</v>
      </c>
      <c r="K27" s="13">
        <f>IF(AND(Sum!$F408="Yes",Sum!$G408="Cash",Sum!L$397=K$5),Sum!L408,0)</f>
        <v>0</v>
      </c>
      <c r="L27" s="13">
        <f>IF(AND(Sum!$F408="Yes",Sum!$G408="Cash",Sum!M$397=L$5),Sum!M408,0)</f>
        <v>0</v>
      </c>
      <c r="M27" s="13">
        <f>IF(AND(Sum!$F408="Yes",Sum!$G408="Cash",Sum!N$397=M$5),Sum!N408,0)</f>
        <v>0</v>
      </c>
      <c r="N27" s="13">
        <f>IF(AND(Sum!$F408="Yes",Sum!$G408="Cash",Sum!O$397=N$5),Sum!O408,0)</f>
        <v>0</v>
      </c>
      <c r="O27" s="13">
        <f>IF(AND(Sum!$F408="Yes",Sum!$G408="Cash",Sum!P$397=O$5),Sum!P408,0)</f>
        <v>0</v>
      </c>
      <c r="P27" s="13">
        <f>IF(AND(Sum!$F408="Yes",Sum!$G408="Cash",Sum!Q$397=P$5),Sum!Q408,0)</f>
        <v>0</v>
      </c>
      <c r="Q27" s="264" t="str">
        <f>IF(AND(Sum!$F408="Yes",Sum!$G408="Cash"),Sum!$E408,"")</f>
        <v/>
      </c>
    </row>
    <row r="28" spans="1:17" ht="12.75" customHeight="1" x14ac:dyDescent="0.25">
      <c r="A28" s="18"/>
      <c r="B28" s="13" t="str">
        <f>IF(AND(Sum!$F409="Yes",Sum!$G409="Cash"),Sum!$B409,"")</f>
        <v/>
      </c>
      <c r="C28" s="13"/>
      <c r="D28" s="13"/>
      <c r="E28" s="13"/>
      <c r="F28" s="13"/>
      <c r="G28" s="153">
        <f>IF(AND(Sum!$F409="Yes",Sum!$G409="Cash",Sum!H$397=G$5),Sum!H409,0)</f>
        <v>0</v>
      </c>
      <c r="H28" s="13">
        <f>IF(AND(Sum!$F409="Yes",Sum!$G409="Cash",Sum!I$397=H$5),Sum!I409,0)</f>
        <v>0</v>
      </c>
      <c r="I28" s="13">
        <f>IF(AND(Sum!$F409="Yes",Sum!$G409="Cash",Sum!J$397=I$5),Sum!J409,0)</f>
        <v>0</v>
      </c>
      <c r="J28" s="13">
        <f>IF(AND(Sum!$F409="Yes",Sum!$G409="Cash",Sum!K$397=J$5),Sum!K409,0)</f>
        <v>0</v>
      </c>
      <c r="K28" s="13">
        <f>IF(AND(Sum!$F409="Yes",Sum!$G409="Cash",Sum!L$397=K$5),Sum!L409,0)</f>
        <v>0</v>
      </c>
      <c r="L28" s="13">
        <f>IF(AND(Sum!$F409="Yes",Sum!$G409="Cash",Sum!M$397=L$5),Sum!M409,0)</f>
        <v>0</v>
      </c>
      <c r="M28" s="13">
        <f>IF(AND(Sum!$F409="Yes",Sum!$G409="Cash",Sum!N$397=M$5),Sum!N409,0)</f>
        <v>0</v>
      </c>
      <c r="N28" s="13">
        <f>IF(AND(Sum!$F409="Yes",Sum!$G409="Cash",Sum!O$397=N$5),Sum!O409,0)</f>
        <v>0</v>
      </c>
      <c r="O28" s="13">
        <f>IF(AND(Sum!$F409="Yes",Sum!$G409="Cash",Sum!P$397=O$5),Sum!P409,0)</f>
        <v>0</v>
      </c>
      <c r="P28" s="13">
        <f>IF(AND(Sum!$F409="Yes",Sum!$G409="Cash",Sum!Q$397=P$5),Sum!Q409,0)</f>
        <v>0</v>
      </c>
      <c r="Q28" s="264" t="str">
        <f>IF(AND(Sum!$F409="Yes",Sum!$G409="Cash"),Sum!$E409,"")</f>
        <v/>
      </c>
    </row>
    <row r="29" spans="1:17" ht="12.75" customHeight="1" x14ac:dyDescent="0.25">
      <c r="A29" s="18"/>
      <c r="B29" s="13" t="str">
        <f>IF(AND(Sum!$F410="Yes",Sum!$G410="Cash"),Sum!$B410,"")</f>
        <v/>
      </c>
      <c r="C29" s="13"/>
      <c r="D29" s="13"/>
      <c r="E29" s="13"/>
      <c r="F29" s="13"/>
      <c r="G29" s="153">
        <f>IF(AND(Sum!$F410="Yes",Sum!$G410="Cash",Sum!H$397=G$5),Sum!H410,0)</f>
        <v>0</v>
      </c>
      <c r="H29" s="13">
        <f>IF(AND(Sum!$F410="Yes",Sum!$G410="Cash",Sum!I$397=H$5),Sum!I410,0)</f>
        <v>0</v>
      </c>
      <c r="I29" s="13">
        <f>IF(AND(Sum!$F410="Yes",Sum!$G410="Cash",Sum!J$397=I$5),Sum!J410,0)</f>
        <v>0</v>
      </c>
      <c r="J29" s="13">
        <f>IF(AND(Sum!$F410="Yes",Sum!$G410="Cash",Sum!K$397=J$5),Sum!K410,0)</f>
        <v>0</v>
      </c>
      <c r="K29" s="13">
        <f>IF(AND(Sum!$F410="Yes",Sum!$G410="Cash",Sum!L$397=K$5),Sum!L410,0)</f>
        <v>0</v>
      </c>
      <c r="L29" s="13">
        <f>IF(AND(Sum!$F410="Yes",Sum!$G410="Cash",Sum!M$397=L$5),Sum!M410,0)</f>
        <v>0</v>
      </c>
      <c r="M29" s="13">
        <f>IF(AND(Sum!$F410="Yes",Sum!$G410="Cash",Sum!N$397=M$5),Sum!N410,0)</f>
        <v>0</v>
      </c>
      <c r="N29" s="13">
        <f>IF(AND(Sum!$F410="Yes",Sum!$G410="Cash",Sum!O$397=N$5),Sum!O410,0)</f>
        <v>0</v>
      </c>
      <c r="O29" s="13">
        <f>IF(AND(Sum!$F410="Yes",Sum!$G410="Cash",Sum!P$397=O$5),Sum!P410,0)</f>
        <v>0</v>
      </c>
      <c r="P29" s="13">
        <f>IF(AND(Sum!$F410="Yes",Sum!$G410="Cash",Sum!Q$397=P$5),Sum!Q410,0)</f>
        <v>0</v>
      </c>
      <c r="Q29" s="264" t="str">
        <f>IF(AND(Sum!$F410="Yes",Sum!$G410="Cash"),Sum!$E410,"")</f>
        <v/>
      </c>
    </row>
    <row r="30" spans="1:17" ht="12.75" customHeight="1" x14ac:dyDescent="0.25">
      <c r="A30" s="18"/>
      <c r="B30" s="13" t="str">
        <f>IF(AND(Sum!$F411="Yes",Sum!$G411="Cash"),Sum!$B411,"")</f>
        <v/>
      </c>
      <c r="C30" s="13"/>
      <c r="D30" s="13"/>
      <c r="E30" s="13"/>
      <c r="F30" s="13"/>
      <c r="G30" s="153">
        <f>IF(AND(Sum!$F411="Yes",Sum!$G411="Cash",Sum!H$397=G$5),Sum!H411,0)</f>
        <v>0</v>
      </c>
      <c r="H30" s="13">
        <f>IF(AND(Sum!$F411="Yes",Sum!$G411="Cash",Sum!I$397=H$5),Sum!I411,0)</f>
        <v>0</v>
      </c>
      <c r="I30" s="13">
        <f>IF(AND(Sum!$F411="Yes",Sum!$G411="Cash",Sum!J$397=I$5),Sum!J411,0)</f>
        <v>0</v>
      </c>
      <c r="J30" s="13">
        <f>IF(AND(Sum!$F411="Yes",Sum!$G411="Cash",Sum!K$397=J$5),Sum!K411,0)</f>
        <v>0</v>
      </c>
      <c r="K30" s="13">
        <f>IF(AND(Sum!$F411="Yes",Sum!$G411="Cash",Sum!L$397=K$5),Sum!L411,0)</f>
        <v>0</v>
      </c>
      <c r="L30" s="13">
        <f>IF(AND(Sum!$F411="Yes",Sum!$G411="Cash",Sum!M$397=L$5),Sum!M411,0)</f>
        <v>0</v>
      </c>
      <c r="M30" s="13">
        <f>IF(AND(Sum!$F411="Yes",Sum!$G411="Cash",Sum!N$397=M$5),Sum!N411,0)</f>
        <v>0</v>
      </c>
      <c r="N30" s="13">
        <f>IF(AND(Sum!$F411="Yes",Sum!$G411="Cash",Sum!O$397=N$5),Sum!O411,0)</f>
        <v>0</v>
      </c>
      <c r="O30" s="13">
        <f>IF(AND(Sum!$F411="Yes",Sum!$G411="Cash",Sum!P$397=O$5),Sum!P411,0)</f>
        <v>0</v>
      </c>
      <c r="P30" s="13">
        <f>IF(AND(Sum!$F411="Yes",Sum!$G411="Cash",Sum!Q$397=P$5),Sum!Q411,0)</f>
        <v>0</v>
      </c>
      <c r="Q30" s="264" t="str">
        <f>IF(AND(Sum!$F411="Yes",Sum!$G411="Cash"),Sum!$E411,"")</f>
        <v/>
      </c>
    </row>
    <row r="31" spans="1:17" ht="12.75" customHeight="1" x14ac:dyDescent="0.25">
      <c r="A31" s="18"/>
      <c r="B31" s="13" t="str">
        <f>IF(AND(Sum!$F412="Yes",Sum!$G412="Cash"),Sum!$B412,"")</f>
        <v/>
      </c>
      <c r="C31" s="13"/>
      <c r="D31" s="13"/>
      <c r="E31" s="13"/>
      <c r="F31" s="13"/>
      <c r="G31" s="153">
        <f>IF(AND(Sum!$F412="Yes",Sum!$G412="Cash",Sum!H$397=G$5),Sum!H412,0)</f>
        <v>0</v>
      </c>
      <c r="H31" s="13">
        <f>IF(AND(Sum!$F412="Yes",Sum!$G412="Cash",Sum!I$397=H$5),Sum!I412,0)</f>
        <v>0</v>
      </c>
      <c r="I31" s="13">
        <f>IF(AND(Sum!$F412="Yes",Sum!$G412="Cash",Sum!J$397=I$5),Sum!J412,0)</f>
        <v>0</v>
      </c>
      <c r="J31" s="13">
        <f>IF(AND(Sum!$F412="Yes",Sum!$G412="Cash",Sum!K$397=J$5),Sum!K412,0)</f>
        <v>0</v>
      </c>
      <c r="K31" s="13">
        <f>IF(AND(Sum!$F412="Yes",Sum!$G412="Cash",Sum!L$397=K$5),Sum!L412,0)</f>
        <v>0</v>
      </c>
      <c r="L31" s="13">
        <f>IF(AND(Sum!$F412="Yes",Sum!$G412="Cash",Sum!M$397=L$5),Sum!M412,0)</f>
        <v>0</v>
      </c>
      <c r="M31" s="13">
        <f>IF(AND(Sum!$F412="Yes",Sum!$G412="Cash",Sum!N$397=M$5),Sum!N412,0)</f>
        <v>0</v>
      </c>
      <c r="N31" s="13">
        <f>IF(AND(Sum!$F412="Yes",Sum!$G412="Cash",Sum!O$397=N$5),Sum!O412,0)</f>
        <v>0</v>
      </c>
      <c r="O31" s="13">
        <f>IF(AND(Sum!$F412="Yes",Sum!$G412="Cash",Sum!P$397=O$5),Sum!P412,0)</f>
        <v>0</v>
      </c>
      <c r="P31" s="13">
        <f>IF(AND(Sum!$F412="Yes",Sum!$G412="Cash",Sum!Q$397=P$5),Sum!Q412,0)</f>
        <v>0</v>
      </c>
      <c r="Q31" s="264" t="str">
        <f>IF(AND(Sum!$F412="Yes",Sum!$G412="Cash"),Sum!$E412,"")</f>
        <v/>
      </c>
    </row>
    <row r="32" spans="1:17" ht="12.75" customHeight="1" x14ac:dyDescent="0.25">
      <c r="A32" s="18"/>
      <c r="B32" s="13" t="str">
        <f>IF(AND(Sum!$F413="Yes",Sum!$G413="Cash"),Sum!$B413,"")</f>
        <v/>
      </c>
      <c r="C32" s="13"/>
      <c r="D32" s="13"/>
      <c r="E32" s="13"/>
      <c r="F32" s="13"/>
      <c r="G32" s="153">
        <f>IF(AND(Sum!$F413="Yes",Sum!$G413="Cash",Sum!H$397=G$5),Sum!H413,0)</f>
        <v>0</v>
      </c>
      <c r="H32" s="13">
        <f>IF(AND(Sum!$F413="Yes",Sum!$G413="Cash",Sum!I$397=H$5),Sum!I413,0)</f>
        <v>0</v>
      </c>
      <c r="I32" s="13">
        <f>IF(AND(Sum!$F413="Yes",Sum!$G413="Cash",Sum!J$397=I$5),Sum!J413,0)</f>
        <v>0</v>
      </c>
      <c r="J32" s="13">
        <f>IF(AND(Sum!$F413="Yes",Sum!$G413="Cash",Sum!K$397=J$5),Sum!K413,0)</f>
        <v>0</v>
      </c>
      <c r="K32" s="13">
        <f>IF(AND(Sum!$F413="Yes",Sum!$G413="Cash",Sum!L$397=K$5),Sum!L413,0)</f>
        <v>0</v>
      </c>
      <c r="L32" s="13">
        <f>IF(AND(Sum!$F413="Yes",Sum!$G413="Cash",Sum!M$397=L$5),Sum!M413,0)</f>
        <v>0</v>
      </c>
      <c r="M32" s="13">
        <f>IF(AND(Sum!$F413="Yes",Sum!$G413="Cash",Sum!N$397=M$5),Sum!N413,0)</f>
        <v>0</v>
      </c>
      <c r="N32" s="13">
        <f>IF(AND(Sum!$F413="Yes",Sum!$G413="Cash",Sum!O$397=N$5),Sum!O413,0)</f>
        <v>0</v>
      </c>
      <c r="O32" s="13">
        <f>IF(AND(Sum!$F413="Yes",Sum!$G413="Cash",Sum!P$397=O$5),Sum!P413,0)</f>
        <v>0</v>
      </c>
      <c r="P32" s="13">
        <f>IF(AND(Sum!$F413="Yes",Sum!$G413="Cash",Sum!Q$397=P$5),Sum!Q413,0)</f>
        <v>0</v>
      </c>
      <c r="Q32" s="264" t="str">
        <f>IF(AND(Sum!$F413="Yes",Sum!$G413="Cash"),Sum!$E413,"")</f>
        <v/>
      </c>
    </row>
    <row r="33" spans="1:17" ht="12.75" customHeight="1" x14ac:dyDescent="0.25">
      <c r="A33" s="18"/>
      <c r="B33" s="13" t="str">
        <f>IF(AND(Sum!$F414="Yes",Sum!$G414="Cash"),Sum!$B414,"")</f>
        <v/>
      </c>
      <c r="C33" s="13"/>
      <c r="D33" s="13"/>
      <c r="E33" s="13"/>
      <c r="F33" s="13"/>
      <c r="G33" s="153">
        <f>IF(AND(Sum!$F414="Yes",Sum!$G414="Cash",Sum!H$397=G$5),Sum!H414,0)</f>
        <v>0</v>
      </c>
      <c r="H33" s="13">
        <f>IF(AND(Sum!$F414="Yes",Sum!$G414="Cash",Sum!I$397=H$5),Sum!I414,0)</f>
        <v>0</v>
      </c>
      <c r="I33" s="13">
        <f>IF(AND(Sum!$F414="Yes",Sum!$G414="Cash",Sum!J$397=I$5),Sum!J414,0)</f>
        <v>0</v>
      </c>
      <c r="J33" s="13">
        <f>IF(AND(Sum!$F414="Yes",Sum!$G414="Cash",Sum!K$397=J$5),Sum!K414,0)</f>
        <v>0</v>
      </c>
      <c r="K33" s="13">
        <f>IF(AND(Sum!$F414="Yes",Sum!$G414="Cash",Sum!L$397=K$5),Sum!L414,0)</f>
        <v>0</v>
      </c>
      <c r="L33" s="13">
        <f>IF(AND(Sum!$F414="Yes",Sum!$G414="Cash",Sum!M$397=L$5),Sum!M414,0)</f>
        <v>0</v>
      </c>
      <c r="M33" s="13">
        <f>IF(AND(Sum!$F414="Yes",Sum!$G414="Cash",Sum!N$397=M$5),Sum!N414,0)</f>
        <v>0</v>
      </c>
      <c r="N33" s="13">
        <f>IF(AND(Sum!$F414="Yes",Sum!$G414="Cash",Sum!O$397=N$5),Sum!O414,0)</f>
        <v>0</v>
      </c>
      <c r="O33" s="13">
        <f>IF(AND(Sum!$F414="Yes",Sum!$G414="Cash",Sum!P$397=O$5),Sum!P414,0)</f>
        <v>0</v>
      </c>
      <c r="P33" s="13">
        <f>IF(AND(Sum!$F414="Yes",Sum!$G414="Cash",Sum!Q$397=P$5),Sum!Q414,0)</f>
        <v>0</v>
      </c>
      <c r="Q33" s="264" t="str">
        <f>IF(AND(Sum!$F414="Yes",Sum!$G414="Cash"),Sum!$E414,"")</f>
        <v/>
      </c>
    </row>
    <row r="34" spans="1:17" ht="12.75" customHeight="1" x14ac:dyDescent="0.25">
      <c r="A34" s="18"/>
      <c r="B34" s="13" t="str">
        <f>IF(AND(Sum!$F415="Yes",Sum!$G415="Cash"),Sum!$B415,"")</f>
        <v/>
      </c>
      <c r="C34" s="13"/>
      <c r="D34" s="13"/>
      <c r="E34" s="13"/>
      <c r="F34" s="13"/>
      <c r="G34" s="153">
        <f>IF(AND(Sum!$F415="Yes",Sum!$G415="Cash",Sum!H$397=G$5),Sum!H415,0)</f>
        <v>0</v>
      </c>
      <c r="H34" s="13">
        <f>IF(AND(Sum!$F415="Yes",Sum!$G415="Cash",Sum!I$397=H$5),Sum!I415,0)</f>
        <v>0</v>
      </c>
      <c r="I34" s="13">
        <f>IF(AND(Sum!$F415="Yes",Sum!$G415="Cash",Sum!J$397=I$5),Sum!J415,0)</f>
        <v>0</v>
      </c>
      <c r="J34" s="13">
        <f>IF(AND(Sum!$F415="Yes",Sum!$G415="Cash",Sum!K$397=J$5),Sum!K415,0)</f>
        <v>0</v>
      </c>
      <c r="K34" s="13">
        <f>IF(AND(Sum!$F415="Yes",Sum!$G415="Cash",Sum!L$397=K$5),Sum!L415,0)</f>
        <v>0</v>
      </c>
      <c r="L34" s="13">
        <f>IF(AND(Sum!$F415="Yes",Sum!$G415="Cash",Sum!M$397=L$5),Sum!M415,0)</f>
        <v>0</v>
      </c>
      <c r="M34" s="13">
        <f>IF(AND(Sum!$F415="Yes",Sum!$G415="Cash",Sum!N$397=M$5),Sum!N415,0)</f>
        <v>0</v>
      </c>
      <c r="N34" s="13">
        <f>IF(AND(Sum!$F415="Yes",Sum!$G415="Cash",Sum!O$397=N$5),Sum!O415,0)</f>
        <v>0</v>
      </c>
      <c r="O34" s="13">
        <f>IF(AND(Sum!$F415="Yes",Sum!$G415="Cash",Sum!P$397=O$5),Sum!P415,0)</f>
        <v>0</v>
      </c>
      <c r="P34" s="13">
        <f>IF(AND(Sum!$F415="Yes",Sum!$G415="Cash",Sum!Q$397=P$5),Sum!Q415,0)</f>
        <v>0</v>
      </c>
      <c r="Q34" s="264" t="str">
        <f>IF(AND(Sum!$F415="Yes",Sum!$G415="Cash"),Sum!$E415,"")</f>
        <v/>
      </c>
    </row>
    <row r="35" spans="1:17" ht="12.75" customHeight="1" x14ac:dyDescent="0.25">
      <c r="A35" s="18"/>
      <c r="B35" s="13" t="str">
        <f>IF(AND(Sum!$F416="Yes",Sum!$G416="Cash"),Sum!$B416,"")</f>
        <v/>
      </c>
      <c r="C35" s="13"/>
      <c r="D35" s="13"/>
      <c r="E35" s="13"/>
      <c r="F35" s="13"/>
      <c r="G35" s="153">
        <f>IF(AND(Sum!$F416="Yes",Sum!$G416="Cash",Sum!H$397=G$5),Sum!H416,0)</f>
        <v>0</v>
      </c>
      <c r="H35" s="13">
        <f>IF(AND(Sum!$F416="Yes",Sum!$G416="Cash",Sum!I$397=H$5),Sum!I416,0)</f>
        <v>0</v>
      </c>
      <c r="I35" s="13">
        <f>IF(AND(Sum!$F416="Yes",Sum!$G416="Cash",Sum!J$397=I$5),Sum!J416,0)</f>
        <v>0</v>
      </c>
      <c r="J35" s="13">
        <f>IF(AND(Sum!$F416="Yes",Sum!$G416="Cash",Sum!K$397=J$5),Sum!K416,0)</f>
        <v>0</v>
      </c>
      <c r="K35" s="13">
        <f>IF(AND(Sum!$F416="Yes",Sum!$G416="Cash",Sum!L$397=K$5),Sum!L416,0)</f>
        <v>0</v>
      </c>
      <c r="L35" s="13">
        <f>IF(AND(Sum!$F416="Yes",Sum!$G416="Cash",Sum!M$397=L$5),Sum!M416,0)</f>
        <v>0</v>
      </c>
      <c r="M35" s="13">
        <f>IF(AND(Sum!$F416="Yes",Sum!$G416="Cash",Sum!N$397=M$5),Sum!N416,0)</f>
        <v>0</v>
      </c>
      <c r="N35" s="13">
        <f>IF(AND(Sum!$F416="Yes",Sum!$G416="Cash",Sum!O$397=N$5),Sum!O416,0)</f>
        <v>0</v>
      </c>
      <c r="O35" s="13">
        <f>IF(AND(Sum!$F416="Yes",Sum!$G416="Cash",Sum!P$397=O$5),Sum!P416,0)</f>
        <v>0</v>
      </c>
      <c r="P35" s="13">
        <f>IF(AND(Sum!$F416="Yes",Sum!$G416="Cash",Sum!Q$397=P$5),Sum!Q416,0)</f>
        <v>0</v>
      </c>
      <c r="Q35" s="264" t="str">
        <f>IF(AND(Sum!$F416="Yes",Sum!$G416="Cash"),Sum!$E416,"")</f>
        <v/>
      </c>
    </row>
    <row r="36" spans="1:17" ht="12.75" customHeight="1" x14ac:dyDescent="0.25">
      <c r="A36" s="18"/>
      <c r="B36" s="13" t="str">
        <f>IF(AND(Sum!$F417="Yes",Sum!$G417="Cash"),Sum!$B417,"")</f>
        <v/>
      </c>
      <c r="C36" s="13"/>
      <c r="D36" s="13"/>
      <c r="E36" s="13"/>
      <c r="F36" s="13"/>
      <c r="G36" s="153">
        <f>IF(AND(Sum!$F417="Yes",Sum!$G417="Cash",Sum!H$397=G$5),Sum!H417,0)</f>
        <v>0</v>
      </c>
      <c r="H36" s="13">
        <f>IF(AND(Sum!$F417="Yes",Sum!$G417="Cash",Sum!I$397=H$5),Sum!I417,0)</f>
        <v>0</v>
      </c>
      <c r="I36" s="13">
        <f>IF(AND(Sum!$F417="Yes",Sum!$G417="Cash",Sum!J$397=I$5),Sum!J417,0)</f>
        <v>0</v>
      </c>
      <c r="J36" s="13">
        <f>IF(AND(Sum!$F417="Yes",Sum!$G417="Cash",Sum!K$397=J$5),Sum!K417,0)</f>
        <v>0</v>
      </c>
      <c r="K36" s="13">
        <f>IF(AND(Sum!$F417="Yes",Sum!$G417="Cash",Sum!L$397=K$5),Sum!L417,0)</f>
        <v>0</v>
      </c>
      <c r="L36" s="13">
        <f>IF(AND(Sum!$F417="Yes",Sum!$G417="Cash",Sum!M$397=L$5),Sum!M417,0)</f>
        <v>0</v>
      </c>
      <c r="M36" s="13">
        <f>IF(AND(Sum!$F417="Yes",Sum!$G417="Cash",Sum!N$397=M$5),Sum!N417,0)</f>
        <v>0</v>
      </c>
      <c r="N36" s="13">
        <f>IF(AND(Sum!$F417="Yes",Sum!$G417="Cash",Sum!O$397=N$5),Sum!O417,0)</f>
        <v>0</v>
      </c>
      <c r="O36" s="13">
        <f>IF(AND(Sum!$F417="Yes",Sum!$G417="Cash",Sum!P$397=O$5),Sum!P417,0)</f>
        <v>0</v>
      </c>
      <c r="P36" s="13">
        <f>IF(AND(Sum!$F417="Yes",Sum!$G417="Cash",Sum!Q$397=P$5),Sum!Q417,0)</f>
        <v>0</v>
      </c>
      <c r="Q36" s="264" t="str">
        <f>IF(AND(Sum!$F417="Yes",Sum!$G417="Cash"),Sum!$E417,"")</f>
        <v/>
      </c>
    </row>
    <row r="37" spans="1:17" ht="12.75" customHeight="1" x14ac:dyDescent="0.25">
      <c r="A37" s="18"/>
      <c r="B37" s="13" t="str">
        <f>IF(AND(Sum!$F418="Yes",Sum!$G418="Cash"),Sum!$B418,"")</f>
        <v/>
      </c>
      <c r="C37" s="13"/>
      <c r="D37" s="13"/>
      <c r="E37" s="13"/>
      <c r="F37" s="13"/>
      <c r="G37" s="153">
        <f>IF(AND(Sum!$F418="Yes",Sum!$G418="Cash",Sum!H$397=G$5),Sum!H418,0)</f>
        <v>0</v>
      </c>
      <c r="H37" s="13">
        <f>IF(AND(Sum!$F418="Yes",Sum!$G418="Cash",Sum!I$397=H$5),Sum!I418,0)</f>
        <v>0</v>
      </c>
      <c r="I37" s="13">
        <f>IF(AND(Sum!$F418="Yes",Sum!$G418="Cash",Sum!J$397=I$5),Sum!J418,0)</f>
        <v>0</v>
      </c>
      <c r="J37" s="13">
        <f>IF(AND(Sum!$F418="Yes",Sum!$G418="Cash",Sum!K$397=J$5),Sum!K418,0)</f>
        <v>0</v>
      </c>
      <c r="K37" s="13">
        <f>IF(AND(Sum!$F418="Yes",Sum!$G418="Cash",Sum!L$397=K$5),Sum!L418,0)</f>
        <v>0</v>
      </c>
      <c r="L37" s="13">
        <f>IF(AND(Sum!$F418="Yes",Sum!$G418="Cash",Sum!M$397=L$5),Sum!M418,0)</f>
        <v>0</v>
      </c>
      <c r="M37" s="13">
        <f>IF(AND(Sum!$F418="Yes",Sum!$G418="Cash",Sum!N$397=M$5),Sum!N418,0)</f>
        <v>0</v>
      </c>
      <c r="N37" s="13">
        <f>IF(AND(Sum!$F418="Yes",Sum!$G418="Cash",Sum!O$397=N$5),Sum!O418,0)</f>
        <v>0</v>
      </c>
      <c r="O37" s="13">
        <f>IF(AND(Sum!$F418="Yes",Sum!$G418="Cash",Sum!P$397=O$5),Sum!P418,0)</f>
        <v>0</v>
      </c>
      <c r="P37" s="13">
        <f>IF(AND(Sum!$F418="Yes",Sum!$G418="Cash",Sum!Q$397=P$5),Sum!Q418,0)</f>
        <v>0</v>
      </c>
      <c r="Q37" s="264" t="str">
        <f>IF(AND(Sum!$F418="Yes",Sum!$G418="Cash"),Sum!$E418,"")</f>
        <v/>
      </c>
    </row>
    <row r="38" spans="1:17" ht="12.75" customHeight="1" x14ac:dyDescent="0.25">
      <c r="A38" s="18"/>
      <c r="B38" s="13" t="str">
        <f>IF(AND(Sum!$F419="Yes",Sum!$G419="Cash"),Sum!$B419,"")</f>
        <v/>
      </c>
      <c r="C38" s="13"/>
      <c r="D38" s="13"/>
      <c r="E38" s="13"/>
      <c r="F38" s="13"/>
      <c r="G38" s="153">
        <f>IF(AND(Sum!$F419="Yes",Sum!$G419="Cash",Sum!H$397=G$5),Sum!H419,0)</f>
        <v>0</v>
      </c>
      <c r="H38" s="13">
        <f>IF(AND(Sum!$F419="Yes",Sum!$G419="Cash",Sum!I$397=H$5),Sum!I419,0)</f>
        <v>0</v>
      </c>
      <c r="I38" s="13">
        <f>IF(AND(Sum!$F419="Yes",Sum!$G419="Cash",Sum!J$397=I$5),Sum!J419,0)</f>
        <v>0</v>
      </c>
      <c r="J38" s="13">
        <f>IF(AND(Sum!$F419="Yes",Sum!$G419="Cash",Sum!K$397=J$5),Sum!K419,0)</f>
        <v>0</v>
      </c>
      <c r="K38" s="13">
        <f>IF(AND(Sum!$F419="Yes",Sum!$G419="Cash",Sum!L$397=K$5),Sum!L419,0)</f>
        <v>0</v>
      </c>
      <c r="L38" s="13">
        <f>IF(AND(Sum!$F419="Yes",Sum!$G419="Cash",Sum!M$397=L$5),Sum!M419,0)</f>
        <v>0</v>
      </c>
      <c r="M38" s="13">
        <f>IF(AND(Sum!$F419="Yes",Sum!$G419="Cash",Sum!N$397=M$5),Sum!N419,0)</f>
        <v>0</v>
      </c>
      <c r="N38" s="13">
        <f>IF(AND(Sum!$F419="Yes",Sum!$G419="Cash",Sum!O$397=N$5),Sum!O419,0)</f>
        <v>0</v>
      </c>
      <c r="O38" s="13">
        <f>IF(AND(Sum!$F419="Yes",Sum!$G419="Cash",Sum!P$397=O$5),Sum!P419,0)</f>
        <v>0</v>
      </c>
      <c r="P38" s="13">
        <f>IF(AND(Sum!$F419="Yes",Sum!$G419="Cash",Sum!Q$397=P$5),Sum!Q419,0)</f>
        <v>0</v>
      </c>
      <c r="Q38" s="264" t="str">
        <f>IF(AND(Sum!$F419="Yes",Sum!$G419="Cash"),Sum!$E419,"")</f>
        <v/>
      </c>
    </row>
    <row r="39" spans="1:17" ht="12.75" customHeight="1" x14ac:dyDescent="0.25">
      <c r="A39" s="18"/>
      <c r="B39" s="13" t="str">
        <f>IF(AND(Sum!$F420="Yes",Sum!$G420="Cash"),Sum!$B420,"")</f>
        <v/>
      </c>
      <c r="C39" s="13"/>
      <c r="D39" s="13"/>
      <c r="E39" s="13"/>
      <c r="F39" s="13"/>
      <c r="G39" s="153">
        <f>IF(AND(Sum!$F420="Yes",Sum!$G420="Cash",Sum!H$397=G$5),Sum!H420,0)</f>
        <v>0</v>
      </c>
      <c r="H39" s="13">
        <f>IF(AND(Sum!$F420="Yes",Sum!$G420="Cash",Sum!I$397=H$5),Sum!I420,0)</f>
        <v>0</v>
      </c>
      <c r="I39" s="13">
        <f>IF(AND(Sum!$F420="Yes",Sum!$G420="Cash",Sum!J$397=I$5),Sum!J420,0)</f>
        <v>0</v>
      </c>
      <c r="J39" s="13">
        <f>IF(AND(Sum!$F420="Yes",Sum!$G420="Cash",Sum!K$397=J$5),Sum!K420,0)</f>
        <v>0</v>
      </c>
      <c r="K39" s="13">
        <f>IF(AND(Sum!$F420="Yes",Sum!$G420="Cash",Sum!L$397=K$5),Sum!L420,0)</f>
        <v>0</v>
      </c>
      <c r="L39" s="13">
        <f>IF(AND(Sum!$F420="Yes",Sum!$G420="Cash",Sum!M$397=L$5),Sum!M420,0)</f>
        <v>0</v>
      </c>
      <c r="M39" s="13">
        <f>IF(AND(Sum!$F420="Yes",Sum!$G420="Cash",Sum!N$397=M$5),Sum!N420,0)</f>
        <v>0</v>
      </c>
      <c r="N39" s="13">
        <f>IF(AND(Sum!$F420="Yes",Sum!$G420="Cash",Sum!O$397=N$5),Sum!O420,0)</f>
        <v>0</v>
      </c>
      <c r="O39" s="13">
        <f>IF(AND(Sum!$F420="Yes",Sum!$G420="Cash",Sum!P$397=O$5),Sum!P420,0)</f>
        <v>0</v>
      </c>
      <c r="P39" s="13">
        <f>IF(AND(Sum!$F420="Yes",Sum!$G420="Cash",Sum!Q$397=P$5),Sum!Q420,0)</f>
        <v>0</v>
      </c>
      <c r="Q39" s="264" t="str">
        <f>IF(AND(Sum!$F420="Yes",Sum!$G420="Cash"),Sum!$E420,"")</f>
        <v/>
      </c>
    </row>
    <row r="40" spans="1:17" ht="12.75" customHeight="1" x14ac:dyDescent="0.25">
      <c r="A40" s="18"/>
      <c r="B40" s="13" t="str">
        <f>IF(AND(Sum!$F421="Yes",Sum!$G421="Cash"),Sum!$B421,"")</f>
        <v/>
      </c>
      <c r="C40" s="13"/>
      <c r="D40" s="13"/>
      <c r="E40" s="13"/>
      <c r="F40" s="13"/>
      <c r="G40" s="153">
        <f>IF(AND(Sum!$F421="Yes",Sum!$G421="Cash",Sum!H$397=G$5),Sum!H421,0)</f>
        <v>0</v>
      </c>
      <c r="H40" s="13">
        <f>IF(AND(Sum!$F421="Yes",Sum!$G421="Cash",Sum!I$397=H$5),Sum!I421,0)</f>
        <v>0</v>
      </c>
      <c r="I40" s="13">
        <f>IF(AND(Sum!$F421="Yes",Sum!$G421="Cash",Sum!J$397=I$5),Sum!J421,0)</f>
        <v>0</v>
      </c>
      <c r="J40" s="13">
        <f>IF(AND(Sum!$F421="Yes",Sum!$G421="Cash",Sum!K$397=J$5),Sum!K421,0)</f>
        <v>0</v>
      </c>
      <c r="K40" s="13">
        <f>IF(AND(Sum!$F421="Yes",Sum!$G421="Cash",Sum!L$397=K$5),Sum!L421,0)</f>
        <v>0</v>
      </c>
      <c r="L40" s="13">
        <f>IF(AND(Sum!$F421="Yes",Sum!$G421="Cash",Sum!M$397=L$5),Sum!M421,0)</f>
        <v>0</v>
      </c>
      <c r="M40" s="13">
        <f>IF(AND(Sum!$F421="Yes",Sum!$G421="Cash",Sum!N$397=M$5),Sum!N421,0)</f>
        <v>0</v>
      </c>
      <c r="N40" s="13">
        <f>IF(AND(Sum!$F421="Yes",Sum!$G421="Cash",Sum!O$397=N$5),Sum!O421,0)</f>
        <v>0</v>
      </c>
      <c r="O40" s="13">
        <f>IF(AND(Sum!$F421="Yes",Sum!$G421="Cash",Sum!P$397=O$5),Sum!P421,0)</f>
        <v>0</v>
      </c>
      <c r="P40" s="13">
        <f>IF(AND(Sum!$F421="Yes",Sum!$G421="Cash",Sum!Q$397=P$5),Sum!Q421,0)</f>
        <v>0</v>
      </c>
      <c r="Q40" s="264" t="str">
        <f>IF(AND(Sum!$F421="Yes",Sum!$G421="Cash"),Sum!$E421,"")</f>
        <v/>
      </c>
    </row>
    <row r="41" spans="1:17" ht="12.75" customHeight="1" x14ac:dyDescent="0.25">
      <c r="A41" s="18"/>
      <c r="B41" s="13" t="str">
        <f>IF(AND(Sum!$F422="Yes",Sum!$G422="Cash"),Sum!$B422,"")</f>
        <v/>
      </c>
      <c r="C41" s="13"/>
      <c r="D41" s="13"/>
      <c r="E41" s="13"/>
      <c r="F41" s="13"/>
      <c r="G41" s="153">
        <f>IF(AND(Sum!$F422="Yes",Sum!$G422="Cash",Sum!H$397=G$5),Sum!H422,0)</f>
        <v>0</v>
      </c>
      <c r="H41" s="13">
        <f>IF(AND(Sum!$F422="Yes",Sum!$G422="Cash",Sum!I$397=H$5),Sum!I422,0)</f>
        <v>0</v>
      </c>
      <c r="I41" s="13">
        <f>IF(AND(Sum!$F422="Yes",Sum!$G422="Cash",Sum!J$397=I$5),Sum!J422,0)</f>
        <v>0</v>
      </c>
      <c r="J41" s="13">
        <f>IF(AND(Sum!$F422="Yes",Sum!$G422="Cash",Sum!K$397=J$5),Sum!K422,0)</f>
        <v>0</v>
      </c>
      <c r="K41" s="13">
        <f>IF(AND(Sum!$F422="Yes",Sum!$G422="Cash",Sum!L$397=K$5),Sum!L422,0)</f>
        <v>0</v>
      </c>
      <c r="L41" s="13">
        <f>IF(AND(Sum!$F422="Yes",Sum!$G422="Cash",Sum!M$397=L$5),Sum!M422,0)</f>
        <v>0</v>
      </c>
      <c r="M41" s="13">
        <f>IF(AND(Sum!$F422="Yes",Sum!$G422="Cash",Sum!N$397=M$5),Sum!N422,0)</f>
        <v>0</v>
      </c>
      <c r="N41" s="13">
        <f>IF(AND(Sum!$F422="Yes",Sum!$G422="Cash",Sum!O$397=N$5),Sum!O422,0)</f>
        <v>0</v>
      </c>
      <c r="O41" s="13">
        <f>IF(AND(Sum!$F422="Yes",Sum!$G422="Cash",Sum!P$397=O$5),Sum!P422,0)</f>
        <v>0</v>
      </c>
      <c r="P41" s="13">
        <f>IF(AND(Sum!$F422="Yes",Sum!$G422="Cash",Sum!Q$397=P$5),Sum!Q422,0)</f>
        <v>0</v>
      </c>
      <c r="Q41" s="264" t="str">
        <f>IF(AND(Sum!$F422="Yes",Sum!$G422="Cash"),Sum!$E422,"")</f>
        <v/>
      </c>
    </row>
    <row r="42" spans="1:17" ht="12.75" customHeight="1" x14ac:dyDescent="0.25">
      <c r="A42" s="18"/>
      <c r="B42" s="13" t="str">
        <f>IF(AND(Sum!$F423="Yes",Sum!$G423="Cash"),Sum!$B423,"")</f>
        <v/>
      </c>
      <c r="C42" s="13"/>
      <c r="D42" s="13"/>
      <c r="E42" s="13"/>
      <c r="F42" s="13"/>
      <c r="G42" s="153">
        <f>IF(AND(Sum!$F423="Yes",Sum!$G423="Cash",Sum!H$397=G$5),Sum!H423,0)</f>
        <v>0</v>
      </c>
      <c r="H42" s="13">
        <f>IF(AND(Sum!$F423="Yes",Sum!$G423="Cash",Sum!I$397=H$5),Sum!I423,0)</f>
        <v>0</v>
      </c>
      <c r="I42" s="13">
        <f>IF(AND(Sum!$F423="Yes",Sum!$G423="Cash",Sum!J$397=I$5),Sum!J423,0)</f>
        <v>0</v>
      </c>
      <c r="J42" s="13">
        <f>IF(AND(Sum!$F423="Yes",Sum!$G423="Cash",Sum!K$397=J$5),Sum!K423,0)</f>
        <v>0</v>
      </c>
      <c r="K42" s="13">
        <f>IF(AND(Sum!$F423="Yes",Sum!$G423="Cash",Sum!L$397=K$5),Sum!L423,0)</f>
        <v>0</v>
      </c>
      <c r="L42" s="13">
        <f>IF(AND(Sum!$F423="Yes",Sum!$G423="Cash",Sum!M$397=L$5),Sum!M423,0)</f>
        <v>0</v>
      </c>
      <c r="M42" s="13">
        <f>IF(AND(Sum!$F423="Yes",Sum!$G423="Cash",Sum!N$397=M$5),Sum!N423,0)</f>
        <v>0</v>
      </c>
      <c r="N42" s="13">
        <f>IF(AND(Sum!$F423="Yes",Sum!$G423="Cash",Sum!O$397=N$5),Sum!O423,0)</f>
        <v>0</v>
      </c>
      <c r="O42" s="13">
        <f>IF(AND(Sum!$F423="Yes",Sum!$G423="Cash",Sum!P$397=O$5),Sum!P423,0)</f>
        <v>0</v>
      </c>
      <c r="P42" s="13">
        <f>IF(AND(Sum!$F423="Yes",Sum!$G423="Cash",Sum!Q$397=P$5),Sum!Q423,0)</f>
        <v>0</v>
      </c>
      <c r="Q42" s="264" t="str">
        <f>IF(AND(Sum!$F423="Yes",Sum!$G423="Cash"),Sum!$E423,"")</f>
        <v/>
      </c>
    </row>
    <row r="43" spans="1:17" ht="12.75" customHeight="1" x14ac:dyDescent="0.25">
      <c r="A43" s="18"/>
      <c r="B43" s="13" t="str">
        <f>IF(AND(Sum!$F424="Yes",Sum!$G424="Cash"),Sum!$B424,"")</f>
        <v/>
      </c>
      <c r="C43" s="13"/>
      <c r="D43" s="13"/>
      <c r="E43" s="13"/>
      <c r="F43" s="13"/>
      <c r="G43" s="153">
        <f>IF(AND(Sum!$F424="Yes",Sum!$G424="Cash",Sum!H$397=G$5),Sum!H424,0)</f>
        <v>0</v>
      </c>
      <c r="H43" s="13">
        <f>IF(AND(Sum!$F424="Yes",Sum!$G424="Cash",Sum!I$397=H$5),Sum!I424,0)</f>
        <v>0</v>
      </c>
      <c r="I43" s="13">
        <f>IF(AND(Sum!$F424="Yes",Sum!$G424="Cash",Sum!J$397=I$5),Sum!J424,0)</f>
        <v>0</v>
      </c>
      <c r="J43" s="13">
        <f>IF(AND(Sum!$F424="Yes",Sum!$G424="Cash",Sum!K$397=J$5),Sum!K424,0)</f>
        <v>0</v>
      </c>
      <c r="K43" s="13">
        <f>IF(AND(Sum!$F424="Yes",Sum!$G424="Cash",Sum!L$397=K$5),Sum!L424,0)</f>
        <v>0</v>
      </c>
      <c r="L43" s="13">
        <f>IF(AND(Sum!$F424="Yes",Sum!$G424="Cash",Sum!M$397=L$5),Sum!M424,0)</f>
        <v>0</v>
      </c>
      <c r="M43" s="13">
        <f>IF(AND(Sum!$F424="Yes",Sum!$G424="Cash",Sum!N$397=M$5),Sum!N424,0)</f>
        <v>0</v>
      </c>
      <c r="N43" s="13">
        <f>IF(AND(Sum!$F424="Yes",Sum!$G424="Cash",Sum!O$397=N$5),Sum!O424,0)</f>
        <v>0</v>
      </c>
      <c r="O43" s="13">
        <f>IF(AND(Sum!$F424="Yes",Sum!$G424="Cash",Sum!P$397=O$5),Sum!P424,0)</f>
        <v>0</v>
      </c>
      <c r="P43" s="13">
        <f>IF(AND(Sum!$F424="Yes",Sum!$G424="Cash",Sum!Q$397=P$5),Sum!Q424,0)</f>
        <v>0</v>
      </c>
      <c r="Q43" s="264" t="str">
        <f>IF(AND(Sum!$F424="Yes",Sum!$G424="Cash"),Sum!$E424,"")</f>
        <v/>
      </c>
    </row>
    <row r="44" spans="1:17" ht="12.75" customHeight="1" x14ac:dyDescent="0.25">
      <c r="A44" s="18"/>
      <c r="B44" s="13" t="str">
        <f>IF(AND(Sum!$F425="Yes",Sum!$G425="Cash"),Sum!$B425,"")</f>
        <v/>
      </c>
      <c r="C44" s="13"/>
      <c r="D44" s="13"/>
      <c r="E44" s="13"/>
      <c r="F44" s="13"/>
      <c r="G44" s="153">
        <f>IF(AND(Sum!$F425="Yes",Sum!$G425="Cash",Sum!H$397=G$5),Sum!H425,0)</f>
        <v>0</v>
      </c>
      <c r="H44" s="13">
        <f>IF(AND(Sum!$F425="Yes",Sum!$G425="Cash",Sum!I$397=H$5),Sum!I425,0)</f>
        <v>0</v>
      </c>
      <c r="I44" s="13">
        <f>IF(AND(Sum!$F425="Yes",Sum!$G425="Cash",Sum!J$397=I$5),Sum!J425,0)</f>
        <v>0</v>
      </c>
      <c r="J44" s="13">
        <f>IF(AND(Sum!$F425="Yes",Sum!$G425="Cash",Sum!K$397=J$5),Sum!K425,0)</f>
        <v>0</v>
      </c>
      <c r="K44" s="13">
        <f>IF(AND(Sum!$F425="Yes",Sum!$G425="Cash",Sum!L$397=K$5),Sum!L425,0)</f>
        <v>0</v>
      </c>
      <c r="L44" s="13">
        <f>IF(AND(Sum!$F425="Yes",Sum!$G425="Cash",Sum!M$397=L$5),Sum!M425,0)</f>
        <v>0</v>
      </c>
      <c r="M44" s="13">
        <f>IF(AND(Sum!$F425="Yes",Sum!$G425="Cash",Sum!N$397=M$5),Sum!N425,0)</f>
        <v>0</v>
      </c>
      <c r="N44" s="13">
        <f>IF(AND(Sum!$F425="Yes",Sum!$G425="Cash",Sum!O$397=N$5),Sum!O425,0)</f>
        <v>0</v>
      </c>
      <c r="O44" s="13">
        <f>IF(AND(Sum!$F425="Yes",Sum!$G425="Cash",Sum!P$397=O$5),Sum!P425,0)</f>
        <v>0</v>
      </c>
      <c r="P44" s="13">
        <f>IF(AND(Sum!$F425="Yes",Sum!$G425="Cash",Sum!Q$397=P$5),Sum!Q425,0)</f>
        <v>0</v>
      </c>
      <c r="Q44" s="264" t="str">
        <f>IF(AND(Sum!$F425="Yes",Sum!$G425="Cash"),Sum!$E425,"")</f>
        <v/>
      </c>
    </row>
    <row r="45" spans="1:17" ht="12.75" customHeight="1" x14ac:dyDescent="0.25">
      <c r="A45" s="18"/>
      <c r="B45" s="13" t="str">
        <f>IF(AND(Sum!$F426="Yes",Sum!$G426="Cash"),Sum!$B426,"")</f>
        <v/>
      </c>
      <c r="C45" s="13"/>
      <c r="D45" s="13"/>
      <c r="E45" s="13"/>
      <c r="F45" s="13"/>
      <c r="G45" s="153">
        <f>IF(AND(Sum!$F426="Yes",Sum!$G426="Cash",Sum!H$397=G$5),Sum!H426,0)</f>
        <v>0</v>
      </c>
      <c r="H45" s="13">
        <f>IF(AND(Sum!$F426="Yes",Sum!$G426="Cash",Sum!I$397=H$5),Sum!I426,0)</f>
        <v>0</v>
      </c>
      <c r="I45" s="13">
        <f>IF(AND(Sum!$F426="Yes",Sum!$G426="Cash",Sum!J$397=I$5),Sum!J426,0)</f>
        <v>0</v>
      </c>
      <c r="J45" s="13">
        <f>IF(AND(Sum!$F426="Yes",Sum!$G426="Cash",Sum!K$397=J$5),Sum!K426,0)</f>
        <v>0</v>
      </c>
      <c r="K45" s="13">
        <f>IF(AND(Sum!$F426="Yes",Sum!$G426="Cash",Sum!L$397=K$5),Sum!L426,0)</f>
        <v>0</v>
      </c>
      <c r="L45" s="13">
        <f>IF(AND(Sum!$F426="Yes",Sum!$G426="Cash",Sum!M$397=L$5),Sum!M426,0)</f>
        <v>0</v>
      </c>
      <c r="M45" s="13">
        <f>IF(AND(Sum!$F426="Yes",Sum!$G426="Cash",Sum!N$397=M$5),Sum!N426,0)</f>
        <v>0</v>
      </c>
      <c r="N45" s="13">
        <f>IF(AND(Sum!$F426="Yes",Sum!$G426="Cash",Sum!O$397=N$5),Sum!O426,0)</f>
        <v>0</v>
      </c>
      <c r="O45" s="13">
        <f>IF(AND(Sum!$F426="Yes",Sum!$G426="Cash",Sum!P$397=O$5),Sum!P426,0)</f>
        <v>0</v>
      </c>
      <c r="P45" s="13">
        <f>IF(AND(Sum!$F426="Yes",Sum!$G426="Cash",Sum!Q$397=P$5),Sum!Q426,0)</f>
        <v>0</v>
      </c>
      <c r="Q45" s="264" t="str">
        <f>IF(AND(Sum!$F426="Yes",Sum!$G426="Cash"),Sum!$E426,"")</f>
        <v/>
      </c>
    </row>
    <row r="46" spans="1:17" ht="12.75" customHeight="1" x14ac:dyDescent="0.25">
      <c r="A46" s="18"/>
      <c r="B46" s="13" t="str">
        <f>IF(AND(Sum!$F427="Yes",Sum!$G427="Cash"),Sum!$B427,"")</f>
        <v/>
      </c>
      <c r="C46" s="13"/>
      <c r="D46" s="13"/>
      <c r="E46" s="13"/>
      <c r="F46" s="13"/>
      <c r="G46" s="153">
        <f>IF(AND(Sum!$F427="Yes",Sum!$G427="Cash",Sum!H$397=G$5),Sum!H427,0)</f>
        <v>0</v>
      </c>
      <c r="H46" s="13">
        <f>IF(AND(Sum!$F427="Yes",Sum!$G427="Cash",Sum!I$397=H$5),Sum!I427,0)</f>
        <v>0</v>
      </c>
      <c r="I46" s="13">
        <f>IF(AND(Sum!$F427="Yes",Sum!$G427="Cash",Sum!J$397=I$5),Sum!J427,0)</f>
        <v>0</v>
      </c>
      <c r="J46" s="13">
        <f>IF(AND(Sum!$F427="Yes",Sum!$G427="Cash",Sum!K$397=J$5),Sum!K427,0)</f>
        <v>0</v>
      </c>
      <c r="K46" s="13">
        <f>IF(AND(Sum!$F427="Yes",Sum!$G427="Cash",Sum!L$397=K$5),Sum!L427,0)</f>
        <v>0</v>
      </c>
      <c r="L46" s="13">
        <f>IF(AND(Sum!$F427="Yes",Sum!$G427="Cash",Sum!M$397=L$5),Sum!M427,0)</f>
        <v>0</v>
      </c>
      <c r="M46" s="13">
        <f>IF(AND(Sum!$F427="Yes",Sum!$G427="Cash",Sum!N$397=M$5),Sum!N427,0)</f>
        <v>0</v>
      </c>
      <c r="N46" s="13">
        <f>IF(AND(Sum!$F427="Yes",Sum!$G427="Cash",Sum!O$397=N$5),Sum!O427,0)</f>
        <v>0</v>
      </c>
      <c r="O46" s="13">
        <f>IF(AND(Sum!$F427="Yes",Sum!$G427="Cash",Sum!P$397=O$5),Sum!P427,0)</f>
        <v>0</v>
      </c>
      <c r="P46" s="13">
        <f>IF(AND(Sum!$F427="Yes",Sum!$G427="Cash",Sum!Q$397=P$5),Sum!Q427,0)</f>
        <v>0</v>
      </c>
      <c r="Q46" s="264" t="str">
        <f>IF(AND(Sum!$F427="Yes",Sum!$G427="Cash"),Sum!$E427,"")</f>
        <v/>
      </c>
    </row>
    <row r="47" spans="1:17" ht="12.75" customHeight="1" x14ac:dyDescent="0.25">
      <c r="A47" s="18"/>
      <c r="B47" s="13" t="str">
        <f>IF(AND(Sum!$F428="Yes",Sum!$G428="Cash"),Sum!$B428,"")</f>
        <v/>
      </c>
      <c r="C47" s="13"/>
      <c r="D47" s="13"/>
      <c r="E47" s="13"/>
      <c r="F47" s="13"/>
      <c r="G47" s="153">
        <f>IF(AND(Sum!$F428="Yes",Sum!$G428="Cash",Sum!H$397=G$5),Sum!H428,0)</f>
        <v>0</v>
      </c>
      <c r="H47" s="13">
        <f>IF(AND(Sum!$F428="Yes",Sum!$G428="Cash",Sum!I$397=H$5),Sum!I428,0)</f>
        <v>0</v>
      </c>
      <c r="I47" s="13">
        <f>IF(AND(Sum!$F428="Yes",Sum!$G428="Cash",Sum!J$397=I$5),Sum!J428,0)</f>
        <v>0</v>
      </c>
      <c r="J47" s="13">
        <f>IF(AND(Sum!$F428="Yes",Sum!$G428="Cash",Sum!K$397=J$5),Sum!K428,0)</f>
        <v>0</v>
      </c>
      <c r="K47" s="13">
        <f>IF(AND(Sum!$F428="Yes",Sum!$G428="Cash",Sum!L$397=K$5),Sum!L428,0)</f>
        <v>0</v>
      </c>
      <c r="L47" s="13">
        <f>IF(AND(Sum!$F428="Yes",Sum!$G428="Cash",Sum!M$397=L$5),Sum!M428,0)</f>
        <v>0</v>
      </c>
      <c r="M47" s="13">
        <f>IF(AND(Sum!$F428="Yes",Sum!$G428="Cash",Sum!N$397=M$5),Sum!N428,0)</f>
        <v>0</v>
      </c>
      <c r="N47" s="13">
        <f>IF(AND(Sum!$F428="Yes",Sum!$G428="Cash",Sum!O$397=N$5),Sum!O428,0)</f>
        <v>0</v>
      </c>
      <c r="O47" s="13">
        <f>IF(AND(Sum!$F428="Yes",Sum!$G428="Cash",Sum!P$397=O$5),Sum!P428,0)</f>
        <v>0</v>
      </c>
      <c r="P47" s="13">
        <f>IF(AND(Sum!$F428="Yes",Sum!$G428="Cash",Sum!Q$397=P$5),Sum!Q428,0)</f>
        <v>0</v>
      </c>
      <c r="Q47" s="264" t="str">
        <f>IF(AND(Sum!$F428="Yes",Sum!$G428="Cash"),Sum!$E428,"")</f>
        <v/>
      </c>
    </row>
    <row r="48" spans="1:17" ht="12.75" customHeight="1" x14ac:dyDescent="0.25">
      <c r="A48" s="18"/>
      <c r="B48" s="13" t="str">
        <f>IF(AND(Sum!$F429="Yes",Sum!$G429="Cash"),Sum!$B429,"")</f>
        <v/>
      </c>
      <c r="C48" s="13"/>
      <c r="D48" s="13"/>
      <c r="E48" s="13"/>
      <c r="F48" s="13"/>
      <c r="G48" s="153">
        <f>IF(AND(Sum!$F429="Yes",Sum!$G429="Cash",Sum!H$397=G$5),Sum!H429,0)</f>
        <v>0</v>
      </c>
      <c r="H48" s="13">
        <f>IF(AND(Sum!$F429="Yes",Sum!$G429="Cash",Sum!I$397=H$5),Sum!I429,0)</f>
        <v>0</v>
      </c>
      <c r="I48" s="13">
        <f>IF(AND(Sum!$F429="Yes",Sum!$G429="Cash",Sum!J$397=I$5),Sum!J429,0)</f>
        <v>0</v>
      </c>
      <c r="J48" s="13">
        <f>IF(AND(Sum!$F429="Yes",Sum!$G429="Cash",Sum!K$397=J$5),Sum!K429,0)</f>
        <v>0</v>
      </c>
      <c r="K48" s="13">
        <f>IF(AND(Sum!$F429="Yes",Sum!$G429="Cash",Sum!L$397=K$5),Sum!L429,0)</f>
        <v>0</v>
      </c>
      <c r="L48" s="13">
        <f>IF(AND(Sum!$F429="Yes",Sum!$G429="Cash",Sum!M$397=L$5),Sum!M429,0)</f>
        <v>0</v>
      </c>
      <c r="M48" s="13">
        <f>IF(AND(Sum!$F429="Yes",Sum!$G429="Cash",Sum!N$397=M$5),Sum!N429,0)</f>
        <v>0</v>
      </c>
      <c r="N48" s="13">
        <f>IF(AND(Sum!$F429="Yes",Sum!$G429="Cash",Sum!O$397=N$5),Sum!O429,0)</f>
        <v>0</v>
      </c>
      <c r="O48" s="13">
        <f>IF(AND(Sum!$F429="Yes",Sum!$G429="Cash",Sum!P$397=O$5),Sum!P429,0)</f>
        <v>0</v>
      </c>
      <c r="P48" s="13">
        <f>IF(AND(Sum!$F429="Yes",Sum!$G429="Cash",Sum!Q$397=P$5),Sum!Q429,0)</f>
        <v>0</v>
      </c>
      <c r="Q48" s="264" t="str">
        <f>IF(AND(Sum!$F429="Yes",Sum!$G429="Cash"),Sum!$E429,"")</f>
        <v/>
      </c>
    </row>
    <row r="49" spans="1:17" ht="12.75" customHeight="1" x14ac:dyDescent="0.25">
      <c r="A49" s="18"/>
      <c r="B49" s="13" t="str">
        <f>IF(AND(Sum!$F430="Yes",Sum!$G430="Cash"),Sum!$B430,"")</f>
        <v/>
      </c>
      <c r="C49" s="13"/>
      <c r="D49" s="13"/>
      <c r="E49" s="13"/>
      <c r="F49" s="13"/>
      <c r="G49" s="153">
        <f>IF(AND(Sum!$F430="Yes",Sum!$G430="Cash",Sum!H$397=G$5),Sum!H430,0)</f>
        <v>0</v>
      </c>
      <c r="H49" s="13">
        <f>IF(AND(Sum!$F430="Yes",Sum!$G430="Cash",Sum!I$397=H$5),Sum!I430,0)</f>
        <v>0</v>
      </c>
      <c r="I49" s="13">
        <f>IF(AND(Sum!$F430="Yes",Sum!$G430="Cash",Sum!J$397=I$5),Sum!J430,0)</f>
        <v>0</v>
      </c>
      <c r="J49" s="13">
        <f>IF(AND(Sum!$F430="Yes",Sum!$G430="Cash",Sum!K$397=J$5),Sum!K430,0)</f>
        <v>0</v>
      </c>
      <c r="K49" s="13">
        <f>IF(AND(Sum!$F430="Yes",Sum!$G430="Cash",Sum!L$397=K$5),Sum!L430,0)</f>
        <v>0</v>
      </c>
      <c r="L49" s="13">
        <f>IF(AND(Sum!$F430="Yes",Sum!$G430="Cash",Sum!M$397=L$5),Sum!M430,0)</f>
        <v>0</v>
      </c>
      <c r="M49" s="13">
        <f>IF(AND(Sum!$F430="Yes",Sum!$G430="Cash",Sum!N$397=M$5),Sum!N430,0)</f>
        <v>0</v>
      </c>
      <c r="N49" s="13">
        <f>IF(AND(Sum!$F430="Yes",Sum!$G430="Cash",Sum!O$397=N$5),Sum!O430,0)</f>
        <v>0</v>
      </c>
      <c r="O49" s="13">
        <f>IF(AND(Sum!$F430="Yes",Sum!$G430="Cash",Sum!P$397=O$5),Sum!P430,0)</f>
        <v>0</v>
      </c>
      <c r="P49" s="13">
        <f>IF(AND(Sum!$F430="Yes",Sum!$G430="Cash",Sum!Q$397=P$5),Sum!Q430,0)</f>
        <v>0</v>
      </c>
      <c r="Q49" s="264" t="str">
        <f>IF(AND(Sum!$F430="Yes",Sum!$G430="Cash"),Sum!$E430,"")</f>
        <v/>
      </c>
    </row>
    <row r="50" spans="1:17" ht="12.75" customHeight="1" x14ac:dyDescent="0.25">
      <c r="A50" s="18"/>
      <c r="B50" s="13" t="str">
        <f>IF(AND(Sum!$F431="Yes",Sum!$G431="Cash"),Sum!$B431,"")</f>
        <v/>
      </c>
      <c r="C50" s="13"/>
      <c r="D50" s="13"/>
      <c r="E50" s="13"/>
      <c r="F50" s="13"/>
      <c r="G50" s="153">
        <f>IF(AND(Sum!$F431="Yes",Sum!$G431="Cash",Sum!H$397=G$5),Sum!H431,0)</f>
        <v>0</v>
      </c>
      <c r="H50" s="13">
        <f>IF(AND(Sum!$F431="Yes",Sum!$G431="Cash",Sum!I$397=H$5),Sum!I431,0)</f>
        <v>0</v>
      </c>
      <c r="I50" s="13">
        <f>IF(AND(Sum!$F431="Yes",Sum!$G431="Cash",Sum!J$397=I$5),Sum!J431,0)</f>
        <v>0</v>
      </c>
      <c r="J50" s="13">
        <f>IF(AND(Sum!$F431="Yes",Sum!$G431="Cash",Sum!K$397=J$5),Sum!K431,0)</f>
        <v>0</v>
      </c>
      <c r="K50" s="13">
        <f>IF(AND(Sum!$F431="Yes",Sum!$G431="Cash",Sum!L$397=K$5),Sum!L431,0)</f>
        <v>0</v>
      </c>
      <c r="L50" s="13">
        <f>IF(AND(Sum!$F431="Yes",Sum!$G431="Cash",Sum!M$397=L$5),Sum!M431,0)</f>
        <v>0</v>
      </c>
      <c r="M50" s="13">
        <f>IF(AND(Sum!$F431="Yes",Sum!$G431="Cash",Sum!N$397=M$5),Sum!N431,0)</f>
        <v>0</v>
      </c>
      <c r="N50" s="13">
        <f>IF(AND(Sum!$F431="Yes",Sum!$G431="Cash",Sum!O$397=N$5),Sum!O431,0)</f>
        <v>0</v>
      </c>
      <c r="O50" s="13">
        <f>IF(AND(Sum!$F431="Yes",Sum!$G431="Cash",Sum!P$397=O$5),Sum!P431,0)</f>
        <v>0</v>
      </c>
      <c r="P50" s="13">
        <f>IF(AND(Sum!$F431="Yes",Sum!$G431="Cash",Sum!Q$397=P$5),Sum!Q431,0)</f>
        <v>0</v>
      </c>
      <c r="Q50" s="264" t="str">
        <f>IF(AND(Sum!$F431="Yes",Sum!$G431="Cash"),Sum!$E431,"")</f>
        <v/>
      </c>
    </row>
    <row r="51" spans="1:17" ht="12.75" customHeight="1" x14ac:dyDescent="0.25">
      <c r="A51" s="18"/>
      <c r="B51" s="13" t="str">
        <f>IF(AND(Sum!$F432="Yes",Sum!$G432="Cash"),Sum!$B432,"")</f>
        <v/>
      </c>
      <c r="C51" s="13"/>
      <c r="D51" s="13"/>
      <c r="E51" s="13"/>
      <c r="F51" s="13"/>
      <c r="G51" s="153">
        <f>IF(AND(Sum!$F432="Yes",Sum!$G432="Cash",Sum!H$397=G$5),Sum!H432,0)</f>
        <v>0</v>
      </c>
      <c r="H51" s="13">
        <f>IF(AND(Sum!$F432="Yes",Sum!$G432="Cash",Sum!I$397=H$5),Sum!I432,0)</f>
        <v>0</v>
      </c>
      <c r="I51" s="13">
        <f>IF(AND(Sum!$F432="Yes",Sum!$G432="Cash",Sum!J$397=I$5),Sum!J432,0)</f>
        <v>0</v>
      </c>
      <c r="J51" s="13">
        <f>IF(AND(Sum!$F432="Yes",Sum!$G432="Cash",Sum!K$397=J$5),Sum!K432,0)</f>
        <v>0</v>
      </c>
      <c r="K51" s="13">
        <f>IF(AND(Sum!$F432="Yes",Sum!$G432="Cash",Sum!L$397=K$5),Sum!L432,0)</f>
        <v>0</v>
      </c>
      <c r="L51" s="13">
        <f>IF(AND(Sum!$F432="Yes",Sum!$G432="Cash",Sum!M$397=L$5),Sum!M432,0)</f>
        <v>0</v>
      </c>
      <c r="M51" s="13">
        <f>IF(AND(Sum!$F432="Yes",Sum!$G432="Cash",Sum!N$397=M$5),Sum!N432,0)</f>
        <v>0</v>
      </c>
      <c r="N51" s="13">
        <f>IF(AND(Sum!$F432="Yes",Sum!$G432="Cash",Sum!O$397=N$5),Sum!O432,0)</f>
        <v>0</v>
      </c>
      <c r="O51" s="13">
        <f>IF(AND(Sum!$F432="Yes",Sum!$G432="Cash",Sum!P$397=O$5),Sum!P432,0)</f>
        <v>0</v>
      </c>
      <c r="P51" s="13">
        <f>IF(AND(Sum!$F432="Yes",Sum!$G432="Cash",Sum!Q$397=P$5),Sum!Q432,0)</f>
        <v>0</v>
      </c>
      <c r="Q51" s="264" t="str">
        <f>IF(AND(Sum!$F432="Yes",Sum!$G432="Cash"),Sum!$E432,"")</f>
        <v/>
      </c>
    </row>
    <row r="52" spans="1:17" ht="12.75" customHeight="1" x14ac:dyDescent="0.25">
      <c r="A52" s="18"/>
      <c r="B52" s="13" t="str">
        <f>IF(AND(Sum!$F433="Yes",Sum!$G433="Cash"),Sum!$B433,"")</f>
        <v/>
      </c>
      <c r="C52" s="13"/>
      <c r="D52" s="13"/>
      <c r="E52" s="13"/>
      <c r="F52" s="13"/>
      <c r="G52" s="153">
        <f>IF(AND(Sum!$F433="Yes",Sum!$G433="Cash",Sum!H$397=G$5),Sum!H433,0)</f>
        <v>0</v>
      </c>
      <c r="H52" s="13">
        <f>IF(AND(Sum!$F433="Yes",Sum!$G433="Cash",Sum!I$397=H$5),Sum!I433,0)</f>
        <v>0</v>
      </c>
      <c r="I52" s="13">
        <f>IF(AND(Sum!$F433="Yes",Sum!$G433="Cash",Sum!J$397=I$5),Sum!J433,0)</f>
        <v>0</v>
      </c>
      <c r="J52" s="13">
        <f>IF(AND(Sum!$F433="Yes",Sum!$G433="Cash",Sum!K$397=J$5),Sum!K433,0)</f>
        <v>0</v>
      </c>
      <c r="K52" s="13">
        <f>IF(AND(Sum!$F433="Yes",Sum!$G433="Cash",Sum!L$397=K$5),Sum!L433,0)</f>
        <v>0</v>
      </c>
      <c r="L52" s="13">
        <f>IF(AND(Sum!$F433="Yes",Sum!$G433="Cash",Sum!M$397=L$5),Sum!M433,0)</f>
        <v>0</v>
      </c>
      <c r="M52" s="13">
        <f>IF(AND(Sum!$F433="Yes",Sum!$G433="Cash",Sum!N$397=M$5),Sum!N433,0)</f>
        <v>0</v>
      </c>
      <c r="N52" s="13">
        <f>IF(AND(Sum!$F433="Yes",Sum!$G433="Cash",Sum!O$397=N$5),Sum!O433,0)</f>
        <v>0</v>
      </c>
      <c r="O52" s="13">
        <f>IF(AND(Sum!$F433="Yes",Sum!$G433="Cash",Sum!P$397=O$5),Sum!P433,0)</f>
        <v>0</v>
      </c>
      <c r="P52" s="13">
        <f>IF(AND(Sum!$F433="Yes",Sum!$G433="Cash",Sum!Q$397=P$5),Sum!Q433,0)</f>
        <v>0</v>
      </c>
      <c r="Q52" s="264" t="str">
        <f>IF(AND(Sum!$F433="Yes",Sum!$G433="Cash"),Sum!$E433,"")</f>
        <v/>
      </c>
    </row>
    <row r="53" spans="1:17" ht="12.75" customHeight="1" x14ac:dyDescent="0.25">
      <c r="A53" s="18"/>
      <c r="B53" s="13" t="str">
        <f>IF(AND(Sum!$F434="Yes",Sum!$G434="Cash"),Sum!$B434,"")</f>
        <v/>
      </c>
      <c r="C53" s="13"/>
      <c r="D53" s="13"/>
      <c r="E53" s="13"/>
      <c r="F53" s="13"/>
      <c r="G53" s="153">
        <f>IF(AND(Sum!$F434="Yes",Sum!$G434="Cash",Sum!H$397=G$5),Sum!H434,0)</f>
        <v>0</v>
      </c>
      <c r="H53" s="13">
        <f>IF(AND(Sum!$F434="Yes",Sum!$G434="Cash",Sum!I$397=H$5),Sum!I434,0)</f>
        <v>0</v>
      </c>
      <c r="I53" s="13">
        <f>IF(AND(Sum!$F434="Yes",Sum!$G434="Cash",Sum!J$397=I$5),Sum!J434,0)</f>
        <v>0</v>
      </c>
      <c r="J53" s="13">
        <f>IF(AND(Sum!$F434="Yes",Sum!$G434="Cash",Sum!K$397=J$5),Sum!K434,0)</f>
        <v>0</v>
      </c>
      <c r="K53" s="13">
        <f>IF(AND(Sum!$F434="Yes",Sum!$G434="Cash",Sum!L$397=K$5),Sum!L434,0)</f>
        <v>0</v>
      </c>
      <c r="L53" s="13">
        <f>IF(AND(Sum!$F434="Yes",Sum!$G434="Cash",Sum!M$397=L$5),Sum!M434,0)</f>
        <v>0</v>
      </c>
      <c r="M53" s="13">
        <f>IF(AND(Sum!$F434="Yes",Sum!$G434="Cash",Sum!N$397=M$5),Sum!N434,0)</f>
        <v>0</v>
      </c>
      <c r="N53" s="13">
        <f>IF(AND(Sum!$F434="Yes",Sum!$G434="Cash",Sum!O$397=N$5),Sum!O434,0)</f>
        <v>0</v>
      </c>
      <c r="O53" s="13">
        <f>IF(AND(Sum!$F434="Yes",Sum!$G434="Cash",Sum!P$397=O$5),Sum!P434,0)</f>
        <v>0</v>
      </c>
      <c r="P53" s="13">
        <f>IF(AND(Sum!$F434="Yes",Sum!$G434="Cash",Sum!Q$397=P$5),Sum!Q434,0)</f>
        <v>0</v>
      </c>
      <c r="Q53" s="264" t="str">
        <f>IF(AND(Sum!$F434="Yes",Sum!$G434="Cash"),Sum!$E434,"")</f>
        <v/>
      </c>
    </row>
    <row r="54" spans="1:17" ht="12.75" customHeight="1" x14ac:dyDescent="0.25">
      <c r="A54" s="18"/>
      <c r="B54" s="13" t="str">
        <f>IF(AND(Sum!$F435="Yes",Sum!$G435="Cash"),Sum!$B435,"")</f>
        <v/>
      </c>
      <c r="C54" s="13"/>
      <c r="D54" s="13"/>
      <c r="E54" s="13"/>
      <c r="F54" s="13"/>
      <c r="G54" s="153">
        <f>IF(AND(Sum!$F435="Yes",Sum!$G435="Cash",Sum!H$397=G$5),Sum!H435,0)</f>
        <v>0</v>
      </c>
      <c r="H54" s="13">
        <f>IF(AND(Sum!$F435="Yes",Sum!$G435="Cash",Sum!I$397=H$5),Sum!I435,0)</f>
        <v>0</v>
      </c>
      <c r="I54" s="13">
        <f>IF(AND(Sum!$F435="Yes",Sum!$G435="Cash",Sum!J$397=I$5),Sum!J435,0)</f>
        <v>0</v>
      </c>
      <c r="J54" s="13">
        <f>IF(AND(Sum!$F435="Yes",Sum!$G435="Cash",Sum!K$397=J$5),Sum!K435,0)</f>
        <v>0</v>
      </c>
      <c r="K54" s="13">
        <f>IF(AND(Sum!$F435="Yes",Sum!$G435="Cash",Sum!L$397=K$5),Sum!L435,0)</f>
        <v>0</v>
      </c>
      <c r="L54" s="13">
        <f>IF(AND(Sum!$F435="Yes",Sum!$G435="Cash",Sum!M$397=L$5),Sum!M435,0)</f>
        <v>0</v>
      </c>
      <c r="M54" s="13">
        <f>IF(AND(Sum!$F435="Yes",Sum!$G435="Cash",Sum!N$397=M$5),Sum!N435,0)</f>
        <v>0</v>
      </c>
      <c r="N54" s="13">
        <f>IF(AND(Sum!$F435="Yes",Sum!$G435="Cash",Sum!O$397=N$5),Sum!O435,0)</f>
        <v>0</v>
      </c>
      <c r="O54" s="13">
        <f>IF(AND(Sum!$F435="Yes",Sum!$G435="Cash",Sum!P$397=O$5),Sum!P435,0)</f>
        <v>0</v>
      </c>
      <c r="P54" s="13">
        <f>IF(AND(Sum!$F435="Yes",Sum!$G435="Cash",Sum!Q$397=P$5),Sum!Q435,0)</f>
        <v>0</v>
      </c>
      <c r="Q54" s="264" t="str">
        <f>IF(AND(Sum!$F435="Yes",Sum!$G435="Cash"),Sum!$E435,"")</f>
        <v/>
      </c>
    </row>
    <row r="55" spans="1:17" ht="12.75" customHeight="1" x14ac:dyDescent="0.25">
      <c r="A55" s="18"/>
      <c r="B55" s="13" t="str">
        <f>IF(AND(Sum!$F436="Yes",Sum!$G436="Cash"),Sum!$B436,"")</f>
        <v/>
      </c>
      <c r="C55" s="13"/>
      <c r="D55" s="13"/>
      <c r="E55" s="13"/>
      <c r="F55" s="13"/>
      <c r="G55" s="153">
        <f>IF(AND(Sum!$F436="Yes",Sum!$G436="Cash",Sum!H$397=G$5),Sum!H436,0)</f>
        <v>0</v>
      </c>
      <c r="H55" s="13">
        <f>IF(AND(Sum!$F436="Yes",Sum!$G436="Cash",Sum!I$397=H$5),Sum!I436,0)</f>
        <v>0</v>
      </c>
      <c r="I55" s="13">
        <f>IF(AND(Sum!$F436="Yes",Sum!$G436="Cash",Sum!J$397=I$5),Sum!J436,0)</f>
        <v>0</v>
      </c>
      <c r="J55" s="13">
        <f>IF(AND(Sum!$F436="Yes",Sum!$G436="Cash",Sum!K$397=J$5),Sum!K436,0)</f>
        <v>0</v>
      </c>
      <c r="K55" s="13">
        <f>IF(AND(Sum!$F436="Yes",Sum!$G436="Cash",Sum!L$397=K$5),Sum!L436,0)</f>
        <v>0</v>
      </c>
      <c r="L55" s="13">
        <f>IF(AND(Sum!$F436="Yes",Sum!$G436="Cash",Sum!M$397=L$5),Sum!M436,0)</f>
        <v>0</v>
      </c>
      <c r="M55" s="13">
        <f>IF(AND(Sum!$F436="Yes",Sum!$G436="Cash",Sum!N$397=M$5),Sum!N436,0)</f>
        <v>0</v>
      </c>
      <c r="N55" s="13">
        <f>IF(AND(Sum!$F436="Yes",Sum!$G436="Cash",Sum!O$397=N$5),Sum!O436,0)</f>
        <v>0</v>
      </c>
      <c r="O55" s="13">
        <f>IF(AND(Sum!$F436="Yes",Sum!$G436="Cash",Sum!P$397=O$5),Sum!P436,0)</f>
        <v>0</v>
      </c>
      <c r="P55" s="13">
        <f>IF(AND(Sum!$F436="Yes",Sum!$G436="Cash",Sum!Q$397=P$5),Sum!Q436,0)</f>
        <v>0</v>
      </c>
      <c r="Q55" s="264" t="str">
        <f>IF(AND(Sum!$F436="Yes",Sum!$G436="Cash"),Sum!$E436,"")</f>
        <v/>
      </c>
    </row>
    <row r="56" spans="1:17" ht="12.75" customHeight="1" x14ac:dyDescent="0.25">
      <c r="A56" s="18"/>
      <c r="B56" s="13" t="str">
        <f>IF(AND(Sum!$F437="Yes",Sum!$G437="Cash"),Sum!$B437,"")</f>
        <v/>
      </c>
      <c r="C56" s="13"/>
      <c r="D56" s="13"/>
      <c r="E56" s="13"/>
      <c r="F56" s="13"/>
      <c r="G56" s="153">
        <f>IF(AND(Sum!$F437="Yes",Sum!$G437="Cash",Sum!H$397=G$5),Sum!H437,0)</f>
        <v>0</v>
      </c>
      <c r="H56" s="13">
        <f>IF(AND(Sum!$F437="Yes",Sum!$G437="Cash",Sum!I$397=H$5),Sum!I437,0)</f>
        <v>0</v>
      </c>
      <c r="I56" s="13">
        <f>IF(AND(Sum!$F437="Yes",Sum!$G437="Cash",Sum!J$397=I$5),Sum!J437,0)</f>
        <v>0</v>
      </c>
      <c r="J56" s="13">
        <f>IF(AND(Sum!$F437="Yes",Sum!$G437="Cash",Sum!K$397=J$5),Sum!K437,0)</f>
        <v>0</v>
      </c>
      <c r="K56" s="13">
        <f>IF(AND(Sum!$F437="Yes",Sum!$G437="Cash",Sum!L$397=K$5),Sum!L437,0)</f>
        <v>0</v>
      </c>
      <c r="L56" s="13">
        <f>IF(AND(Sum!$F437="Yes",Sum!$G437="Cash",Sum!M$397=L$5),Sum!M437,0)</f>
        <v>0</v>
      </c>
      <c r="M56" s="13">
        <f>IF(AND(Sum!$F437="Yes",Sum!$G437="Cash",Sum!N$397=M$5),Sum!N437,0)</f>
        <v>0</v>
      </c>
      <c r="N56" s="13">
        <f>IF(AND(Sum!$F437="Yes",Sum!$G437="Cash",Sum!O$397=N$5),Sum!O437,0)</f>
        <v>0</v>
      </c>
      <c r="O56" s="13">
        <f>IF(AND(Sum!$F437="Yes",Sum!$G437="Cash",Sum!P$397=O$5),Sum!P437,0)</f>
        <v>0</v>
      </c>
      <c r="P56" s="13">
        <f>IF(AND(Sum!$F437="Yes",Sum!$G437="Cash",Sum!Q$397=P$5),Sum!Q437,0)</f>
        <v>0</v>
      </c>
      <c r="Q56" s="264" t="str">
        <f>IF(AND(Sum!$F437="Yes",Sum!$G437="Cash"),Sum!$E437,"")</f>
        <v/>
      </c>
    </row>
    <row r="57" spans="1:17" ht="12.75" customHeight="1" x14ac:dyDescent="0.25">
      <c r="A57" s="18"/>
      <c r="B57" s="13" t="str">
        <f>IF(AND(Sum!$F438="Yes",Sum!$G438="Cash"),Sum!$B438,"")</f>
        <v/>
      </c>
      <c r="C57" s="13"/>
      <c r="D57" s="13"/>
      <c r="E57" s="13"/>
      <c r="F57" s="13"/>
      <c r="G57" s="153">
        <f>IF(AND(Sum!$F438="Yes",Sum!$G438="Cash",Sum!H$397=G$5),Sum!H438,0)</f>
        <v>0</v>
      </c>
      <c r="H57" s="13">
        <f>IF(AND(Sum!$F438="Yes",Sum!$G438="Cash",Sum!I$397=H$5),Sum!I438,0)</f>
        <v>0</v>
      </c>
      <c r="I57" s="13">
        <f>IF(AND(Sum!$F438="Yes",Sum!$G438="Cash",Sum!J$397=I$5),Sum!J438,0)</f>
        <v>0</v>
      </c>
      <c r="J57" s="13">
        <f>IF(AND(Sum!$F438="Yes",Sum!$G438="Cash",Sum!K$397=J$5),Sum!K438,0)</f>
        <v>0</v>
      </c>
      <c r="K57" s="13">
        <f>IF(AND(Sum!$F438="Yes",Sum!$G438="Cash",Sum!L$397=K$5),Sum!L438,0)</f>
        <v>0</v>
      </c>
      <c r="L57" s="13">
        <f>IF(AND(Sum!$F438="Yes",Sum!$G438="Cash",Sum!M$397=L$5),Sum!M438,0)</f>
        <v>0</v>
      </c>
      <c r="M57" s="13">
        <f>IF(AND(Sum!$F438="Yes",Sum!$G438="Cash",Sum!N$397=M$5),Sum!N438,0)</f>
        <v>0</v>
      </c>
      <c r="N57" s="13">
        <f>IF(AND(Sum!$F438="Yes",Sum!$G438="Cash",Sum!O$397=N$5),Sum!O438,0)</f>
        <v>0</v>
      </c>
      <c r="O57" s="13">
        <f>IF(AND(Sum!$F438="Yes",Sum!$G438="Cash",Sum!P$397=O$5),Sum!P438,0)</f>
        <v>0</v>
      </c>
      <c r="P57" s="13">
        <f>IF(AND(Sum!$F438="Yes",Sum!$G438="Cash",Sum!Q$397=P$5),Sum!Q438,0)</f>
        <v>0</v>
      </c>
      <c r="Q57" s="264" t="str">
        <f>IF(AND(Sum!$F438="Yes",Sum!$G438="Cash"),Sum!$E438,"")</f>
        <v/>
      </c>
    </row>
    <row r="58" spans="1:17" ht="12.75" customHeight="1" x14ac:dyDescent="0.25">
      <c r="A58" s="18"/>
      <c r="B58" s="13" t="str">
        <f>IF(AND(Sum!$F439="Yes",Sum!$G439="Cash"),Sum!$B439,"")</f>
        <v/>
      </c>
      <c r="C58" s="13"/>
      <c r="D58" s="13"/>
      <c r="E58" s="13"/>
      <c r="F58" s="13"/>
      <c r="G58" s="153">
        <f>IF(AND(Sum!$F439="Yes",Sum!$G439="Cash",Sum!H$397=G$5),Sum!H439,0)</f>
        <v>0</v>
      </c>
      <c r="H58" s="13">
        <f>IF(AND(Sum!$F439="Yes",Sum!$G439="Cash",Sum!I$397=H$5),Sum!I439,0)</f>
        <v>0</v>
      </c>
      <c r="I58" s="13">
        <f>IF(AND(Sum!$F439="Yes",Sum!$G439="Cash",Sum!J$397=I$5),Sum!J439,0)</f>
        <v>0</v>
      </c>
      <c r="J58" s="13">
        <f>IF(AND(Sum!$F439="Yes",Sum!$G439="Cash",Sum!K$397=J$5),Sum!K439,0)</f>
        <v>0</v>
      </c>
      <c r="K58" s="13">
        <f>IF(AND(Sum!$F439="Yes",Sum!$G439="Cash",Sum!L$397=K$5),Sum!L439,0)</f>
        <v>0</v>
      </c>
      <c r="L58" s="13">
        <f>IF(AND(Sum!$F439="Yes",Sum!$G439="Cash",Sum!M$397=L$5),Sum!M439,0)</f>
        <v>0</v>
      </c>
      <c r="M58" s="13">
        <f>IF(AND(Sum!$F439="Yes",Sum!$G439="Cash",Sum!N$397=M$5),Sum!N439,0)</f>
        <v>0</v>
      </c>
      <c r="N58" s="13">
        <f>IF(AND(Sum!$F439="Yes",Sum!$G439="Cash",Sum!O$397=N$5),Sum!O439,0)</f>
        <v>0</v>
      </c>
      <c r="O58" s="13">
        <f>IF(AND(Sum!$F439="Yes",Sum!$G439="Cash",Sum!P$397=O$5),Sum!P439,0)</f>
        <v>0</v>
      </c>
      <c r="P58" s="13">
        <f>IF(AND(Sum!$F439="Yes",Sum!$G439="Cash",Sum!Q$397=P$5),Sum!Q439,0)</f>
        <v>0</v>
      </c>
      <c r="Q58" s="264" t="str">
        <f>IF(AND(Sum!$F439="Yes",Sum!$G439="Cash"),Sum!$E439,"")</f>
        <v/>
      </c>
    </row>
    <row r="59" spans="1:17" ht="12.75" customHeight="1" x14ac:dyDescent="0.25">
      <c r="A59" s="18"/>
      <c r="B59" s="13" t="str">
        <f>IF(AND(Sum!$F440="Yes",Sum!$G440="Cash"),Sum!$B440,"")</f>
        <v/>
      </c>
      <c r="C59" s="13"/>
      <c r="D59" s="13"/>
      <c r="E59" s="13"/>
      <c r="F59" s="13"/>
      <c r="G59" s="153">
        <f>IF(AND(Sum!$F440="Yes",Sum!$G440="Cash",Sum!H$397=G$5),Sum!H440,0)</f>
        <v>0</v>
      </c>
      <c r="H59" s="13">
        <f>IF(AND(Sum!$F440="Yes",Sum!$G440="Cash",Sum!I$397=H$5),Sum!I440,0)</f>
        <v>0</v>
      </c>
      <c r="I59" s="13">
        <f>IF(AND(Sum!$F440="Yes",Sum!$G440="Cash",Sum!J$397=I$5),Sum!J440,0)</f>
        <v>0</v>
      </c>
      <c r="J59" s="13">
        <f>IF(AND(Sum!$F440="Yes",Sum!$G440="Cash",Sum!K$397=J$5),Sum!K440,0)</f>
        <v>0</v>
      </c>
      <c r="K59" s="13">
        <f>IF(AND(Sum!$F440="Yes",Sum!$G440="Cash",Sum!L$397=K$5),Sum!L440,0)</f>
        <v>0</v>
      </c>
      <c r="L59" s="13">
        <f>IF(AND(Sum!$F440="Yes",Sum!$G440="Cash",Sum!M$397=L$5),Sum!M440,0)</f>
        <v>0</v>
      </c>
      <c r="M59" s="13">
        <f>IF(AND(Sum!$F440="Yes",Sum!$G440="Cash",Sum!N$397=M$5),Sum!N440,0)</f>
        <v>0</v>
      </c>
      <c r="N59" s="13">
        <f>IF(AND(Sum!$F440="Yes",Sum!$G440="Cash",Sum!O$397=N$5),Sum!O440,0)</f>
        <v>0</v>
      </c>
      <c r="O59" s="13">
        <f>IF(AND(Sum!$F440="Yes",Sum!$G440="Cash",Sum!P$397=O$5),Sum!P440,0)</f>
        <v>0</v>
      </c>
      <c r="P59" s="13">
        <f>IF(AND(Sum!$F440="Yes",Sum!$G440="Cash",Sum!Q$397=P$5),Sum!Q440,0)</f>
        <v>0</v>
      </c>
      <c r="Q59" s="264" t="str">
        <f>IF(AND(Sum!$F440="Yes",Sum!$G440="Cash"),Sum!$E440,"")</f>
        <v/>
      </c>
    </row>
    <row r="60" spans="1:17" ht="12.75" customHeight="1" x14ac:dyDescent="0.25">
      <c r="A60" s="18"/>
      <c r="B60" s="13" t="str">
        <f>IF(AND(Sum!$F441="Yes",Sum!$G441="Cash"),Sum!$B441,"")</f>
        <v/>
      </c>
      <c r="C60" s="13"/>
      <c r="D60" s="13"/>
      <c r="E60" s="13"/>
      <c r="F60" s="13"/>
      <c r="G60" s="153">
        <f>IF(AND(Sum!$F441="Yes",Sum!$G441="Cash",Sum!H$397=G$5),Sum!H441,0)</f>
        <v>0</v>
      </c>
      <c r="H60" s="13">
        <f>IF(AND(Sum!$F441="Yes",Sum!$G441="Cash",Sum!I$397=H$5),Sum!I441,0)</f>
        <v>0</v>
      </c>
      <c r="I60" s="13">
        <f>IF(AND(Sum!$F441="Yes",Sum!$G441="Cash",Sum!J$397=I$5),Sum!J441,0)</f>
        <v>0</v>
      </c>
      <c r="J60" s="13">
        <f>IF(AND(Sum!$F441="Yes",Sum!$G441="Cash",Sum!K$397=J$5),Sum!K441,0)</f>
        <v>0</v>
      </c>
      <c r="K60" s="13">
        <f>IF(AND(Sum!$F441="Yes",Sum!$G441="Cash",Sum!L$397=K$5),Sum!L441,0)</f>
        <v>0</v>
      </c>
      <c r="L60" s="13">
        <f>IF(AND(Sum!$F441="Yes",Sum!$G441="Cash",Sum!M$397=L$5),Sum!M441,0)</f>
        <v>0</v>
      </c>
      <c r="M60" s="13">
        <f>IF(AND(Sum!$F441="Yes",Sum!$G441="Cash",Sum!N$397=M$5),Sum!N441,0)</f>
        <v>0</v>
      </c>
      <c r="N60" s="13">
        <f>IF(AND(Sum!$F441="Yes",Sum!$G441="Cash",Sum!O$397=N$5),Sum!O441,0)</f>
        <v>0</v>
      </c>
      <c r="O60" s="13">
        <f>IF(AND(Sum!$F441="Yes",Sum!$G441="Cash",Sum!P$397=O$5),Sum!P441,0)</f>
        <v>0</v>
      </c>
      <c r="P60" s="13">
        <f>IF(AND(Sum!$F441="Yes",Sum!$G441="Cash",Sum!Q$397=P$5),Sum!Q441,0)</f>
        <v>0</v>
      </c>
      <c r="Q60" s="264" t="str">
        <f>IF(AND(Sum!$F441="Yes",Sum!$G441="Cash"),Sum!$E441,"")</f>
        <v/>
      </c>
    </row>
    <row r="61" spans="1:17" ht="12.75" customHeight="1" x14ac:dyDescent="0.25">
      <c r="A61" s="18"/>
      <c r="B61" s="13" t="str">
        <f>IF(AND(Sum!$F442="Yes",Sum!$G442="Cash"),Sum!$B442,"")</f>
        <v/>
      </c>
      <c r="C61" s="13"/>
      <c r="D61" s="13"/>
      <c r="E61" s="13"/>
      <c r="F61" s="13"/>
      <c r="G61" s="153">
        <f>IF(AND(Sum!$F442="Yes",Sum!$G442="Cash",Sum!H$397=G$5),Sum!H442,0)</f>
        <v>0</v>
      </c>
      <c r="H61" s="13">
        <f>IF(AND(Sum!$F442="Yes",Sum!$G442="Cash",Sum!I$397=H$5),Sum!I442,0)</f>
        <v>0</v>
      </c>
      <c r="I61" s="13">
        <f>IF(AND(Sum!$F442="Yes",Sum!$G442="Cash",Sum!J$397=I$5),Sum!J442,0)</f>
        <v>0</v>
      </c>
      <c r="J61" s="13">
        <f>IF(AND(Sum!$F442="Yes",Sum!$G442="Cash",Sum!K$397=J$5),Sum!K442,0)</f>
        <v>0</v>
      </c>
      <c r="K61" s="13">
        <f>IF(AND(Sum!$F442="Yes",Sum!$G442="Cash",Sum!L$397=K$5),Sum!L442,0)</f>
        <v>0</v>
      </c>
      <c r="L61" s="13">
        <f>IF(AND(Sum!$F442="Yes",Sum!$G442="Cash",Sum!M$397=L$5),Sum!M442,0)</f>
        <v>0</v>
      </c>
      <c r="M61" s="13">
        <f>IF(AND(Sum!$F442="Yes",Sum!$G442="Cash",Sum!N$397=M$5),Sum!N442,0)</f>
        <v>0</v>
      </c>
      <c r="N61" s="13">
        <f>IF(AND(Sum!$F442="Yes",Sum!$G442="Cash",Sum!O$397=N$5),Sum!O442,0)</f>
        <v>0</v>
      </c>
      <c r="O61" s="13">
        <f>IF(AND(Sum!$F442="Yes",Sum!$G442="Cash",Sum!P$397=O$5),Sum!P442,0)</f>
        <v>0</v>
      </c>
      <c r="P61" s="13">
        <f>IF(AND(Sum!$F442="Yes",Sum!$G442="Cash",Sum!Q$397=P$5),Sum!Q442,0)</f>
        <v>0</v>
      </c>
      <c r="Q61" s="264" t="str">
        <f>IF(AND(Sum!$F442="Yes",Sum!$G442="Cash"),Sum!$E442,"")</f>
        <v/>
      </c>
    </row>
    <row r="62" spans="1:17" ht="12.75" customHeight="1" x14ac:dyDescent="0.25">
      <c r="A62" s="18"/>
      <c r="B62" s="13" t="str">
        <f>IF(AND(Sum!$F443="Yes",Sum!$G443="Cash"),Sum!$B443,"")</f>
        <v/>
      </c>
      <c r="C62" s="13"/>
      <c r="D62" s="13"/>
      <c r="E62" s="13"/>
      <c r="F62" s="13"/>
      <c r="G62" s="153">
        <f>IF(AND(Sum!$F443="Yes",Sum!$G443="Cash",Sum!H$397=G$5),Sum!H443,0)</f>
        <v>0</v>
      </c>
      <c r="H62" s="13">
        <f>IF(AND(Sum!$F443="Yes",Sum!$G443="Cash",Sum!I$397=H$5),Sum!I443,0)</f>
        <v>0</v>
      </c>
      <c r="I62" s="13">
        <f>IF(AND(Sum!$F443="Yes",Sum!$G443="Cash",Sum!J$397=I$5),Sum!J443,0)</f>
        <v>0</v>
      </c>
      <c r="J62" s="13">
        <f>IF(AND(Sum!$F443="Yes",Sum!$G443="Cash",Sum!K$397=J$5),Sum!K443,0)</f>
        <v>0</v>
      </c>
      <c r="K62" s="13">
        <f>IF(AND(Sum!$F443="Yes",Sum!$G443="Cash",Sum!L$397=K$5),Sum!L443,0)</f>
        <v>0</v>
      </c>
      <c r="L62" s="13">
        <f>IF(AND(Sum!$F443="Yes",Sum!$G443="Cash",Sum!M$397=L$5),Sum!M443,0)</f>
        <v>0</v>
      </c>
      <c r="M62" s="13">
        <f>IF(AND(Sum!$F443="Yes",Sum!$G443="Cash",Sum!N$397=M$5),Sum!N443,0)</f>
        <v>0</v>
      </c>
      <c r="N62" s="13">
        <f>IF(AND(Sum!$F443="Yes",Sum!$G443="Cash",Sum!O$397=N$5),Sum!O443,0)</f>
        <v>0</v>
      </c>
      <c r="O62" s="13">
        <f>IF(AND(Sum!$F443="Yes",Sum!$G443="Cash",Sum!P$397=O$5),Sum!P443,0)</f>
        <v>0</v>
      </c>
      <c r="P62" s="13">
        <f>IF(AND(Sum!$F443="Yes",Sum!$G443="Cash",Sum!Q$397=P$5),Sum!Q443,0)</f>
        <v>0</v>
      </c>
      <c r="Q62" s="264" t="str">
        <f>IF(AND(Sum!$F443="Yes",Sum!$G443="Cash"),Sum!$E443,"")</f>
        <v/>
      </c>
    </row>
    <row r="63" spans="1:17" ht="12.75" customHeight="1" x14ac:dyDescent="0.25">
      <c r="A63" s="18"/>
      <c r="B63" s="13" t="str">
        <f>IF(AND(Sum!$F444="Yes",Sum!$G444="Cash"),Sum!$B444,"")</f>
        <v/>
      </c>
      <c r="C63" s="13"/>
      <c r="D63" s="13"/>
      <c r="E63" s="13"/>
      <c r="F63" s="13"/>
      <c r="G63" s="153">
        <f>IF(AND(Sum!$F444="Yes",Sum!$G444="Cash",Sum!H$397=G$5),Sum!H444,0)</f>
        <v>0</v>
      </c>
      <c r="H63" s="13">
        <f>IF(AND(Sum!$F444="Yes",Sum!$G444="Cash",Sum!I$397=H$5),Sum!I444,0)</f>
        <v>0</v>
      </c>
      <c r="I63" s="13">
        <f>IF(AND(Sum!$F444="Yes",Sum!$G444="Cash",Sum!J$397=I$5),Sum!J444,0)</f>
        <v>0</v>
      </c>
      <c r="J63" s="13">
        <f>IF(AND(Sum!$F444="Yes",Sum!$G444="Cash",Sum!K$397=J$5),Sum!K444,0)</f>
        <v>0</v>
      </c>
      <c r="K63" s="13">
        <f>IF(AND(Sum!$F444="Yes",Sum!$G444="Cash",Sum!L$397=K$5),Sum!L444,0)</f>
        <v>0</v>
      </c>
      <c r="L63" s="13">
        <f>IF(AND(Sum!$F444="Yes",Sum!$G444="Cash",Sum!M$397=L$5),Sum!M444,0)</f>
        <v>0</v>
      </c>
      <c r="M63" s="13">
        <f>IF(AND(Sum!$F444="Yes",Sum!$G444="Cash",Sum!N$397=M$5),Sum!N444,0)</f>
        <v>0</v>
      </c>
      <c r="N63" s="13">
        <f>IF(AND(Sum!$F444="Yes",Sum!$G444="Cash",Sum!O$397=N$5),Sum!O444,0)</f>
        <v>0</v>
      </c>
      <c r="O63" s="13">
        <f>IF(AND(Sum!$F444="Yes",Sum!$G444="Cash",Sum!P$397=O$5),Sum!P444,0)</f>
        <v>0</v>
      </c>
      <c r="P63" s="13">
        <f>IF(AND(Sum!$F444="Yes",Sum!$G444="Cash",Sum!Q$397=P$5),Sum!Q444,0)</f>
        <v>0</v>
      </c>
      <c r="Q63" s="264" t="str">
        <f>IF(AND(Sum!$F444="Yes",Sum!$G444="Cash"),Sum!$E444,"")</f>
        <v/>
      </c>
    </row>
    <row r="64" spans="1:17" ht="12.75" customHeight="1" x14ac:dyDescent="0.25">
      <c r="A64" s="18"/>
      <c r="B64" s="13" t="str">
        <f>IF(AND(Sum!$F445="Yes",Sum!$G445="Cash"),Sum!$B445,"")</f>
        <v/>
      </c>
      <c r="C64" s="13"/>
      <c r="D64" s="13"/>
      <c r="E64" s="13"/>
      <c r="F64" s="13"/>
      <c r="G64" s="153">
        <f>IF(AND(Sum!$F445="Yes",Sum!$G445="Cash",Sum!H$397=G$5),Sum!H445,0)</f>
        <v>0</v>
      </c>
      <c r="H64" s="13">
        <f>IF(AND(Sum!$F445="Yes",Sum!$G445="Cash",Sum!I$397=H$5),Sum!I445,0)</f>
        <v>0</v>
      </c>
      <c r="I64" s="13">
        <f>IF(AND(Sum!$F445="Yes",Sum!$G445="Cash",Sum!J$397=I$5),Sum!J445,0)</f>
        <v>0</v>
      </c>
      <c r="J64" s="13">
        <f>IF(AND(Sum!$F445="Yes",Sum!$G445="Cash",Sum!K$397=J$5),Sum!K445,0)</f>
        <v>0</v>
      </c>
      <c r="K64" s="13">
        <f>IF(AND(Sum!$F445="Yes",Sum!$G445="Cash",Sum!L$397=K$5),Sum!L445,0)</f>
        <v>0</v>
      </c>
      <c r="L64" s="13">
        <f>IF(AND(Sum!$F445="Yes",Sum!$G445="Cash",Sum!M$397=L$5),Sum!M445,0)</f>
        <v>0</v>
      </c>
      <c r="M64" s="13">
        <f>IF(AND(Sum!$F445="Yes",Sum!$G445="Cash",Sum!N$397=M$5),Sum!N445,0)</f>
        <v>0</v>
      </c>
      <c r="N64" s="13">
        <f>IF(AND(Sum!$F445="Yes",Sum!$G445="Cash",Sum!O$397=N$5),Sum!O445,0)</f>
        <v>0</v>
      </c>
      <c r="O64" s="13">
        <f>IF(AND(Sum!$F445="Yes",Sum!$G445="Cash",Sum!P$397=O$5),Sum!P445,0)</f>
        <v>0</v>
      </c>
      <c r="P64" s="13">
        <f>IF(AND(Sum!$F445="Yes",Sum!$G445="Cash",Sum!Q$397=P$5),Sum!Q445,0)</f>
        <v>0</v>
      </c>
      <c r="Q64" s="264" t="str">
        <f>IF(AND(Sum!$F445="Yes",Sum!$G445="Cash"),Sum!$E445,"")</f>
        <v/>
      </c>
    </row>
    <row r="65" spans="1:17" ht="12.75" customHeight="1" x14ac:dyDescent="0.25">
      <c r="A65" s="18"/>
      <c r="B65" s="13" t="str">
        <f>IF(AND(Sum!$F446="Yes",Sum!$G446="Cash"),Sum!$B446,"")</f>
        <v/>
      </c>
      <c r="C65" s="13"/>
      <c r="D65" s="13"/>
      <c r="E65" s="13"/>
      <c r="F65" s="13"/>
      <c r="G65" s="153">
        <f>IF(AND(Sum!$F446="Yes",Sum!$G446="Cash",Sum!H$397=G$5),Sum!H446,0)</f>
        <v>0</v>
      </c>
      <c r="H65" s="13">
        <f>IF(AND(Sum!$F446="Yes",Sum!$G446="Cash",Sum!I$397=H$5),Sum!I446,0)</f>
        <v>0</v>
      </c>
      <c r="I65" s="13">
        <f>IF(AND(Sum!$F446="Yes",Sum!$G446="Cash",Sum!J$397=I$5),Sum!J446,0)</f>
        <v>0</v>
      </c>
      <c r="J65" s="13">
        <f>IF(AND(Sum!$F446="Yes",Sum!$G446="Cash",Sum!K$397=J$5),Sum!K446,0)</f>
        <v>0</v>
      </c>
      <c r="K65" s="13">
        <f>IF(AND(Sum!$F446="Yes",Sum!$G446="Cash",Sum!L$397=K$5),Sum!L446,0)</f>
        <v>0</v>
      </c>
      <c r="L65" s="13">
        <f>IF(AND(Sum!$F446="Yes",Sum!$G446="Cash",Sum!M$397=L$5),Sum!M446,0)</f>
        <v>0</v>
      </c>
      <c r="M65" s="13">
        <f>IF(AND(Sum!$F446="Yes",Sum!$G446="Cash",Sum!N$397=M$5),Sum!N446,0)</f>
        <v>0</v>
      </c>
      <c r="N65" s="13">
        <f>IF(AND(Sum!$F446="Yes",Sum!$G446="Cash",Sum!O$397=N$5),Sum!O446,0)</f>
        <v>0</v>
      </c>
      <c r="O65" s="13">
        <f>IF(AND(Sum!$F446="Yes",Sum!$G446="Cash",Sum!P$397=O$5),Sum!P446,0)</f>
        <v>0</v>
      </c>
      <c r="P65" s="13">
        <f>IF(AND(Sum!$F446="Yes",Sum!$G446="Cash",Sum!Q$397=P$5),Sum!Q446,0)</f>
        <v>0</v>
      </c>
      <c r="Q65" s="264" t="str">
        <f>IF(AND(Sum!$F446="Yes",Sum!$G446="Cash"),Sum!$E446,"")</f>
        <v/>
      </c>
    </row>
    <row r="66" spans="1:17" ht="12.75" customHeight="1" x14ac:dyDescent="0.25">
      <c r="A66" s="18"/>
      <c r="B66" s="13" t="str">
        <f>IF(AND(Sum!$F447="Yes",Sum!$G447="Cash"),Sum!$B447,"")</f>
        <v/>
      </c>
      <c r="C66" s="13"/>
      <c r="D66" s="13"/>
      <c r="E66" s="13"/>
      <c r="F66" s="13"/>
      <c r="G66" s="153">
        <f>IF(AND(Sum!$F447="Yes",Sum!$G447="Cash",Sum!H$397=G$5),Sum!H447,0)</f>
        <v>0</v>
      </c>
      <c r="H66" s="13">
        <f>IF(AND(Sum!$F447="Yes",Sum!$G447="Cash",Sum!I$397=H$5),Sum!I447,0)</f>
        <v>0</v>
      </c>
      <c r="I66" s="13">
        <f>IF(AND(Sum!$F447="Yes",Sum!$G447="Cash",Sum!J$397=I$5),Sum!J447,0)</f>
        <v>0</v>
      </c>
      <c r="J66" s="13">
        <f>IF(AND(Sum!$F447="Yes",Sum!$G447="Cash",Sum!K$397=J$5),Sum!K447,0)</f>
        <v>0</v>
      </c>
      <c r="K66" s="13">
        <f>IF(AND(Sum!$F447="Yes",Sum!$G447="Cash",Sum!L$397=K$5),Sum!L447,0)</f>
        <v>0</v>
      </c>
      <c r="L66" s="13">
        <f>IF(AND(Sum!$F447="Yes",Sum!$G447="Cash",Sum!M$397=L$5),Sum!M447,0)</f>
        <v>0</v>
      </c>
      <c r="M66" s="13">
        <f>IF(AND(Sum!$F447="Yes",Sum!$G447="Cash",Sum!N$397=M$5),Sum!N447,0)</f>
        <v>0</v>
      </c>
      <c r="N66" s="13">
        <f>IF(AND(Sum!$F447="Yes",Sum!$G447="Cash",Sum!O$397=N$5),Sum!O447,0)</f>
        <v>0</v>
      </c>
      <c r="O66" s="13">
        <f>IF(AND(Sum!$F447="Yes",Sum!$G447="Cash",Sum!P$397=O$5),Sum!P447,0)</f>
        <v>0</v>
      </c>
      <c r="P66" s="13">
        <f>IF(AND(Sum!$F447="Yes",Sum!$G447="Cash",Sum!Q$397=P$5),Sum!Q447,0)</f>
        <v>0</v>
      </c>
      <c r="Q66" s="264" t="str">
        <f>IF(AND(Sum!$F447="Yes",Sum!$G447="Cash"),Sum!$E447,"")</f>
        <v/>
      </c>
    </row>
    <row r="67" spans="1:17" ht="12.75" customHeight="1" x14ac:dyDescent="0.25">
      <c r="A67" s="18"/>
      <c r="B67" s="13" t="str">
        <f>IF(AND(Sum!$F448="Yes",Sum!$G448="Cash"),Sum!$B448,"")</f>
        <v/>
      </c>
      <c r="C67" s="13"/>
      <c r="D67" s="13"/>
      <c r="E67" s="13"/>
      <c r="F67" s="13"/>
      <c r="G67" s="153">
        <f>IF(AND(Sum!$F448="Yes",Sum!$G448="Cash",Sum!H$397=G$5),Sum!H448,0)</f>
        <v>0</v>
      </c>
      <c r="H67" s="13">
        <f>IF(AND(Sum!$F448="Yes",Sum!$G448="Cash",Sum!I$397=H$5),Sum!I448,0)</f>
        <v>0</v>
      </c>
      <c r="I67" s="13">
        <f>IF(AND(Sum!$F448="Yes",Sum!$G448="Cash",Sum!J$397=I$5),Sum!J448,0)</f>
        <v>0</v>
      </c>
      <c r="J67" s="13">
        <f>IF(AND(Sum!$F448="Yes",Sum!$G448="Cash",Sum!K$397=J$5),Sum!K448,0)</f>
        <v>0</v>
      </c>
      <c r="K67" s="13">
        <f>IF(AND(Sum!$F448="Yes",Sum!$G448="Cash",Sum!L$397=K$5),Sum!L448,0)</f>
        <v>0</v>
      </c>
      <c r="L67" s="13">
        <f>IF(AND(Sum!$F448="Yes",Sum!$G448="Cash",Sum!M$397=L$5),Sum!M448,0)</f>
        <v>0</v>
      </c>
      <c r="M67" s="13">
        <f>IF(AND(Sum!$F448="Yes",Sum!$G448="Cash",Sum!N$397=M$5),Sum!N448,0)</f>
        <v>0</v>
      </c>
      <c r="N67" s="13">
        <f>IF(AND(Sum!$F448="Yes",Sum!$G448="Cash",Sum!O$397=N$5),Sum!O448,0)</f>
        <v>0</v>
      </c>
      <c r="O67" s="13">
        <f>IF(AND(Sum!$F448="Yes",Sum!$G448="Cash",Sum!P$397=O$5),Sum!P448,0)</f>
        <v>0</v>
      </c>
      <c r="P67" s="13">
        <f>IF(AND(Sum!$F448="Yes",Sum!$G448="Cash",Sum!Q$397=P$5),Sum!Q448,0)</f>
        <v>0</v>
      </c>
      <c r="Q67" s="264" t="str">
        <f>IF(AND(Sum!$F448="Yes",Sum!$G448="Cash"),Sum!$E448,"")</f>
        <v/>
      </c>
    </row>
    <row r="68" spans="1:17" ht="12.75" customHeight="1" x14ac:dyDescent="0.25">
      <c r="A68" s="18"/>
      <c r="B68" s="13" t="str">
        <f>IF(AND(Sum!$F449="Yes",Sum!$G449="Cash"),Sum!$B449,"")</f>
        <v/>
      </c>
      <c r="C68" s="13"/>
      <c r="D68" s="13"/>
      <c r="E68" s="13"/>
      <c r="F68" s="13"/>
      <c r="G68" s="153">
        <f>IF(AND(Sum!$F449="Yes",Sum!$G449="Cash",Sum!H$397=G$5),Sum!H449,0)</f>
        <v>0</v>
      </c>
      <c r="H68" s="13">
        <f>IF(AND(Sum!$F449="Yes",Sum!$G449="Cash",Sum!I$397=H$5),Sum!I449,0)</f>
        <v>0</v>
      </c>
      <c r="I68" s="13">
        <f>IF(AND(Sum!$F449="Yes",Sum!$G449="Cash",Sum!J$397=I$5),Sum!J449,0)</f>
        <v>0</v>
      </c>
      <c r="J68" s="13">
        <f>IF(AND(Sum!$F449="Yes",Sum!$G449="Cash",Sum!K$397=J$5),Sum!K449,0)</f>
        <v>0</v>
      </c>
      <c r="K68" s="13">
        <f>IF(AND(Sum!$F449="Yes",Sum!$G449="Cash",Sum!L$397=K$5),Sum!L449,0)</f>
        <v>0</v>
      </c>
      <c r="L68" s="13">
        <f>IF(AND(Sum!$F449="Yes",Sum!$G449="Cash",Sum!M$397=L$5),Sum!M449,0)</f>
        <v>0</v>
      </c>
      <c r="M68" s="13">
        <f>IF(AND(Sum!$F449="Yes",Sum!$G449="Cash",Sum!N$397=M$5),Sum!N449,0)</f>
        <v>0</v>
      </c>
      <c r="N68" s="13">
        <f>IF(AND(Sum!$F449="Yes",Sum!$G449="Cash",Sum!O$397=N$5),Sum!O449,0)</f>
        <v>0</v>
      </c>
      <c r="O68" s="13">
        <f>IF(AND(Sum!$F449="Yes",Sum!$G449="Cash",Sum!P$397=O$5),Sum!P449,0)</f>
        <v>0</v>
      </c>
      <c r="P68" s="13">
        <f>IF(AND(Sum!$F449="Yes",Sum!$G449="Cash",Sum!Q$397=P$5),Sum!Q449,0)</f>
        <v>0</v>
      </c>
      <c r="Q68" s="264" t="str">
        <f>IF(AND(Sum!$F449="Yes",Sum!$G449="Cash"),Sum!$E449,"")</f>
        <v/>
      </c>
    </row>
    <row r="69" spans="1:17" ht="12.75" customHeight="1" x14ac:dyDescent="0.25">
      <c r="A69" s="18"/>
      <c r="B69" s="13" t="str">
        <f>IF(AND(Sum!$F450="Yes",Sum!$G450="Cash"),Sum!$B450,"")</f>
        <v/>
      </c>
      <c r="C69" s="13"/>
      <c r="D69" s="13"/>
      <c r="E69" s="13"/>
      <c r="F69" s="13"/>
      <c r="G69" s="153">
        <f>IF(AND(Sum!$F450="Yes",Sum!$G450="Cash",Sum!H$397=G$5),Sum!H450,0)</f>
        <v>0</v>
      </c>
      <c r="H69" s="13">
        <f>IF(AND(Sum!$F450="Yes",Sum!$G450="Cash",Sum!I$397=H$5),Sum!I450,0)</f>
        <v>0</v>
      </c>
      <c r="I69" s="13">
        <f>IF(AND(Sum!$F450="Yes",Sum!$G450="Cash",Sum!J$397=I$5),Sum!J450,0)</f>
        <v>0</v>
      </c>
      <c r="J69" s="13">
        <f>IF(AND(Sum!$F450="Yes",Sum!$G450="Cash",Sum!K$397=J$5),Sum!K450,0)</f>
        <v>0</v>
      </c>
      <c r="K69" s="13">
        <f>IF(AND(Sum!$F450="Yes",Sum!$G450="Cash",Sum!L$397=K$5),Sum!L450,0)</f>
        <v>0</v>
      </c>
      <c r="L69" s="13">
        <f>IF(AND(Sum!$F450="Yes",Sum!$G450="Cash",Sum!M$397=L$5),Sum!M450,0)</f>
        <v>0</v>
      </c>
      <c r="M69" s="13">
        <f>IF(AND(Sum!$F450="Yes",Sum!$G450="Cash",Sum!N$397=M$5),Sum!N450,0)</f>
        <v>0</v>
      </c>
      <c r="N69" s="13">
        <f>IF(AND(Sum!$F450="Yes",Sum!$G450="Cash",Sum!O$397=N$5),Sum!O450,0)</f>
        <v>0</v>
      </c>
      <c r="O69" s="13">
        <f>IF(AND(Sum!$F450="Yes",Sum!$G450="Cash",Sum!P$397=O$5),Sum!P450,0)</f>
        <v>0</v>
      </c>
      <c r="P69" s="13">
        <f>IF(AND(Sum!$F450="Yes",Sum!$G450="Cash",Sum!Q$397=P$5),Sum!Q450,0)</f>
        <v>0</v>
      </c>
      <c r="Q69" s="264" t="str">
        <f>IF(AND(Sum!$F450="Yes",Sum!$G450="Cash"),Sum!$E450,"")</f>
        <v/>
      </c>
    </row>
    <row r="70" spans="1:17" ht="12.75" customHeight="1" x14ac:dyDescent="0.25">
      <c r="A70" s="18"/>
      <c r="B70" s="13" t="str">
        <f>IF(AND(Sum!$F451="Yes",Sum!$G451="Cash"),Sum!$B451,"")</f>
        <v/>
      </c>
      <c r="C70" s="13"/>
      <c r="D70" s="13"/>
      <c r="E70" s="13"/>
      <c r="F70" s="13"/>
      <c r="G70" s="153">
        <f>IF(AND(Sum!$F451="Yes",Sum!$G451="Cash",Sum!H$397=G$5),Sum!H451,0)</f>
        <v>0</v>
      </c>
      <c r="H70" s="13">
        <f>IF(AND(Sum!$F451="Yes",Sum!$G451="Cash",Sum!I$397=H$5),Sum!I451,0)</f>
        <v>0</v>
      </c>
      <c r="I70" s="13">
        <f>IF(AND(Sum!$F451="Yes",Sum!$G451="Cash",Sum!J$397=I$5),Sum!J451,0)</f>
        <v>0</v>
      </c>
      <c r="J70" s="13">
        <f>IF(AND(Sum!$F451="Yes",Sum!$G451="Cash",Sum!K$397=J$5),Sum!K451,0)</f>
        <v>0</v>
      </c>
      <c r="K70" s="13">
        <f>IF(AND(Sum!$F451="Yes",Sum!$G451="Cash",Sum!L$397=K$5),Sum!L451,0)</f>
        <v>0</v>
      </c>
      <c r="L70" s="13">
        <f>IF(AND(Sum!$F451="Yes",Sum!$G451="Cash",Sum!M$397=L$5),Sum!M451,0)</f>
        <v>0</v>
      </c>
      <c r="M70" s="13">
        <f>IF(AND(Sum!$F451="Yes",Sum!$G451="Cash",Sum!N$397=M$5),Sum!N451,0)</f>
        <v>0</v>
      </c>
      <c r="N70" s="13">
        <f>IF(AND(Sum!$F451="Yes",Sum!$G451="Cash",Sum!O$397=N$5),Sum!O451,0)</f>
        <v>0</v>
      </c>
      <c r="O70" s="13">
        <f>IF(AND(Sum!$F451="Yes",Sum!$G451="Cash",Sum!P$397=O$5),Sum!P451,0)</f>
        <v>0</v>
      </c>
      <c r="P70" s="13">
        <f>IF(AND(Sum!$F451="Yes",Sum!$G451="Cash",Sum!Q$397=P$5),Sum!Q451,0)</f>
        <v>0</v>
      </c>
      <c r="Q70" s="264" t="str">
        <f>IF(AND(Sum!$F451="Yes",Sum!$G451="Cash"),Sum!$E451,"")</f>
        <v/>
      </c>
    </row>
    <row r="71" spans="1:17" ht="12.75" customHeight="1" x14ac:dyDescent="0.25">
      <c r="A71" s="18"/>
      <c r="B71" s="13" t="str">
        <f>IF(AND(Sum!$F452="Yes",Sum!$G452="Cash"),Sum!$B452,"")</f>
        <v/>
      </c>
      <c r="C71" s="13"/>
      <c r="D71" s="13"/>
      <c r="E71" s="13"/>
      <c r="F71" s="13"/>
      <c r="G71" s="153">
        <f>IF(AND(Sum!$F452="Yes",Sum!$G452="Cash",Sum!H$397=G$5),Sum!H452,0)</f>
        <v>0</v>
      </c>
      <c r="H71" s="13">
        <f>IF(AND(Sum!$F452="Yes",Sum!$G452="Cash",Sum!I$397=H$5),Sum!I452,0)</f>
        <v>0</v>
      </c>
      <c r="I71" s="13">
        <f>IF(AND(Sum!$F452="Yes",Sum!$G452="Cash",Sum!J$397=I$5),Sum!J452,0)</f>
        <v>0</v>
      </c>
      <c r="J71" s="13">
        <f>IF(AND(Sum!$F452="Yes",Sum!$G452="Cash",Sum!K$397=J$5),Sum!K452,0)</f>
        <v>0</v>
      </c>
      <c r="K71" s="13">
        <f>IF(AND(Sum!$F452="Yes",Sum!$G452="Cash",Sum!L$397=K$5),Sum!L452,0)</f>
        <v>0</v>
      </c>
      <c r="L71" s="13">
        <f>IF(AND(Sum!$F452="Yes",Sum!$G452="Cash",Sum!M$397=L$5),Sum!M452,0)</f>
        <v>0</v>
      </c>
      <c r="M71" s="13">
        <f>IF(AND(Sum!$F452="Yes",Sum!$G452="Cash",Sum!N$397=M$5),Sum!N452,0)</f>
        <v>0</v>
      </c>
      <c r="N71" s="13">
        <f>IF(AND(Sum!$F452="Yes",Sum!$G452="Cash",Sum!O$397=N$5),Sum!O452,0)</f>
        <v>0</v>
      </c>
      <c r="O71" s="13">
        <f>IF(AND(Sum!$F452="Yes",Sum!$G452="Cash",Sum!P$397=O$5),Sum!P452,0)</f>
        <v>0</v>
      </c>
      <c r="P71" s="13">
        <f>IF(AND(Sum!$F452="Yes",Sum!$G452="Cash",Sum!Q$397=P$5),Sum!Q452,0)</f>
        <v>0</v>
      </c>
      <c r="Q71" s="264" t="str">
        <f>IF(AND(Sum!$F452="Yes",Sum!$G452="Cash"),Sum!$E452,"")</f>
        <v/>
      </c>
    </row>
    <row r="72" spans="1:17" ht="12.75" customHeight="1" x14ac:dyDescent="0.25">
      <c r="A72" s="18"/>
      <c r="B72" s="13" t="str">
        <f>IF(AND(Sum!$F453="Yes",Sum!$G453="Cash"),Sum!$B453,"")</f>
        <v/>
      </c>
      <c r="C72" s="13"/>
      <c r="D72" s="13"/>
      <c r="E72" s="13"/>
      <c r="F72" s="13"/>
      <c r="G72" s="153">
        <f>IF(AND(Sum!$F453="Yes",Sum!$G453="Cash",Sum!H$397=G$5),Sum!H453,0)</f>
        <v>0</v>
      </c>
      <c r="H72" s="13">
        <f>IF(AND(Sum!$F453="Yes",Sum!$G453="Cash",Sum!I$397=H$5),Sum!I453,0)</f>
        <v>0</v>
      </c>
      <c r="I72" s="13">
        <f>IF(AND(Sum!$F453="Yes",Sum!$G453="Cash",Sum!J$397=I$5),Sum!J453,0)</f>
        <v>0</v>
      </c>
      <c r="J72" s="13">
        <f>IF(AND(Sum!$F453="Yes",Sum!$G453="Cash",Sum!K$397=J$5),Sum!K453,0)</f>
        <v>0</v>
      </c>
      <c r="K72" s="13">
        <f>IF(AND(Sum!$F453="Yes",Sum!$G453="Cash",Sum!L$397=K$5),Sum!L453,0)</f>
        <v>0</v>
      </c>
      <c r="L72" s="13">
        <f>IF(AND(Sum!$F453="Yes",Sum!$G453="Cash",Sum!M$397=L$5),Sum!M453,0)</f>
        <v>0</v>
      </c>
      <c r="M72" s="13">
        <f>IF(AND(Sum!$F453="Yes",Sum!$G453="Cash",Sum!N$397=M$5),Sum!N453,0)</f>
        <v>0</v>
      </c>
      <c r="N72" s="13">
        <f>IF(AND(Sum!$F453="Yes",Sum!$G453="Cash",Sum!O$397=N$5),Sum!O453,0)</f>
        <v>0</v>
      </c>
      <c r="O72" s="13">
        <f>IF(AND(Sum!$F453="Yes",Sum!$G453="Cash",Sum!P$397=O$5),Sum!P453,0)</f>
        <v>0</v>
      </c>
      <c r="P72" s="13">
        <f>IF(AND(Sum!$F453="Yes",Sum!$G453="Cash",Sum!Q$397=P$5),Sum!Q453,0)</f>
        <v>0</v>
      </c>
      <c r="Q72" s="264" t="str">
        <f>IF(AND(Sum!$F453="Yes",Sum!$G453="Cash"),Sum!$E453,"")</f>
        <v/>
      </c>
    </row>
    <row r="73" spans="1:17" ht="12.75" customHeight="1" x14ac:dyDescent="0.25">
      <c r="A73" s="18"/>
      <c r="B73" s="13" t="str">
        <f>IF(AND(Sum!$F454="Yes",Sum!$G454="Cash"),Sum!$B454,"")</f>
        <v/>
      </c>
      <c r="C73" s="13"/>
      <c r="D73" s="13"/>
      <c r="E73" s="13"/>
      <c r="F73" s="13"/>
      <c r="G73" s="153">
        <f>IF(AND(Sum!$F454="Yes",Sum!$G454="Cash",Sum!H$397=G$5),Sum!H454,0)</f>
        <v>0</v>
      </c>
      <c r="H73" s="13">
        <f>IF(AND(Sum!$F454="Yes",Sum!$G454="Cash",Sum!I$397=H$5),Sum!I454,0)</f>
        <v>0</v>
      </c>
      <c r="I73" s="13">
        <f>IF(AND(Sum!$F454="Yes",Sum!$G454="Cash",Sum!J$397=I$5),Sum!J454,0)</f>
        <v>0</v>
      </c>
      <c r="J73" s="13">
        <f>IF(AND(Sum!$F454="Yes",Sum!$G454="Cash",Sum!K$397=J$5),Sum!K454,0)</f>
        <v>0</v>
      </c>
      <c r="K73" s="13">
        <f>IF(AND(Sum!$F454="Yes",Sum!$G454="Cash",Sum!L$397=K$5),Sum!L454,0)</f>
        <v>0</v>
      </c>
      <c r="L73" s="13">
        <f>IF(AND(Sum!$F454="Yes",Sum!$G454="Cash",Sum!M$397=L$5),Sum!M454,0)</f>
        <v>0</v>
      </c>
      <c r="M73" s="13">
        <f>IF(AND(Sum!$F454="Yes",Sum!$G454="Cash",Sum!N$397=M$5),Sum!N454,0)</f>
        <v>0</v>
      </c>
      <c r="N73" s="13">
        <f>IF(AND(Sum!$F454="Yes",Sum!$G454="Cash",Sum!O$397=N$5),Sum!O454,0)</f>
        <v>0</v>
      </c>
      <c r="O73" s="13">
        <f>IF(AND(Sum!$F454="Yes",Sum!$G454="Cash",Sum!P$397=O$5),Sum!P454,0)</f>
        <v>0</v>
      </c>
      <c r="P73" s="13">
        <f>IF(AND(Sum!$F454="Yes",Sum!$G454="Cash",Sum!Q$397=P$5),Sum!Q454,0)</f>
        <v>0</v>
      </c>
      <c r="Q73" s="264" t="str">
        <f>IF(AND(Sum!$F454="Yes",Sum!$G454="Cash"),Sum!$E454,"")</f>
        <v/>
      </c>
    </row>
    <row r="74" spans="1:17" ht="12.75" customHeight="1" x14ac:dyDescent="0.25">
      <c r="A74" s="18"/>
      <c r="B74" s="13" t="str">
        <f>IF(AND(Sum!$F455="Yes",Sum!$G455="Cash"),Sum!$B455,"")</f>
        <v/>
      </c>
      <c r="C74" s="13"/>
      <c r="D74" s="13"/>
      <c r="E74" s="13"/>
      <c r="F74" s="13"/>
      <c r="G74" s="153">
        <f>IF(AND(Sum!$F455="Yes",Sum!$G455="Cash",Sum!H$397=G$5),Sum!H455,0)</f>
        <v>0</v>
      </c>
      <c r="H74" s="13">
        <f>IF(AND(Sum!$F455="Yes",Sum!$G455="Cash",Sum!I$397=H$5),Sum!I455,0)</f>
        <v>0</v>
      </c>
      <c r="I74" s="13">
        <f>IF(AND(Sum!$F455="Yes",Sum!$G455="Cash",Sum!J$397=I$5),Sum!J455,0)</f>
        <v>0</v>
      </c>
      <c r="J74" s="13">
        <f>IF(AND(Sum!$F455="Yes",Sum!$G455="Cash",Sum!K$397=J$5),Sum!K455,0)</f>
        <v>0</v>
      </c>
      <c r="K74" s="13">
        <f>IF(AND(Sum!$F455="Yes",Sum!$G455="Cash",Sum!L$397=K$5),Sum!L455,0)</f>
        <v>0</v>
      </c>
      <c r="L74" s="13">
        <f>IF(AND(Sum!$F455="Yes",Sum!$G455="Cash",Sum!M$397=L$5),Sum!M455,0)</f>
        <v>0</v>
      </c>
      <c r="M74" s="13">
        <f>IF(AND(Sum!$F455="Yes",Sum!$G455="Cash",Sum!N$397=M$5),Sum!N455,0)</f>
        <v>0</v>
      </c>
      <c r="N74" s="13">
        <f>IF(AND(Sum!$F455="Yes",Sum!$G455="Cash",Sum!O$397=N$5),Sum!O455,0)</f>
        <v>0</v>
      </c>
      <c r="O74" s="13">
        <f>IF(AND(Sum!$F455="Yes",Sum!$G455="Cash",Sum!P$397=O$5),Sum!P455,0)</f>
        <v>0</v>
      </c>
      <c r="P74" s="13">
        <f>IF(AND(Sum!$F455="Yes",Sum!$G455="Cash",Sum!Q$397=P$5),Sum!Q455,0)</f>
        <v>0</v>
      </c>
      <c r="Q74" s="264" t="str">
        <f>IF(AND(Sum!$F455="Yes",Sum!$G455="Cash"),Sum!$E455,"")</f>
        <v/>
      </c>
    </row>
    <row r="75" spans="1:17" ht="12.75" customHeight="1" x14ac:dyDescent="0.25">
      <c r="A75" s="18"/>
      <c r="B75" s="13" t="str">
        <f>IF(AND(Sum!$F456="Yes",Sum!$G456="Cash"),Sum!$B456,"")</f>
        <v/>
      </c>
      <c r="C75" s="13"/>
      <c r="D75" s="13"/>
      <c r="E75" s="13"/>
      <c r="F75" s="13"/>
      <c r="G75" s="153">
        <f>IF(AND(Sum!$F456="Yes",Sum!$G456="Cash",Sum!H$397=G$5),Sum!H456,0)</f>
        <v>0</v>
      </c>
      <c r="H75" s="13">
        <f>IF(AND(Sum!$F456="Yes",Sum!$G456="Cash",Sum!I$397=H$5),Sum!I456,0)</f>
        <v>0</v>
      </c>
      <c r="I75" s="13">
        <f>IF(AND(Sum!$F456="Yes",Sum!$G456="Cash",Sum!J$397=I$5),Sum!J456,0)</f>
        <v>0</v>
      </c>
      <c r="J75" s="13">
        <f>IF(AND(Sum!$F456="Yes",Sum!$G456="Cash",Sum!K$397=J$5),Sum!K456,0)</f>
        <v>0</v>
      </c>
      <c r="K75" s="13">
        <f>IF(AND(Sum!$F456="Yes",Sum!$G456="Cash",Sum!L$397=K$5),Sum!L456,0)</f>
        <v>0</v>
      </c>
      <c r="L75" s="13">
        <f>IF(AND(Sum!$F456="Yes",Sum!$G456="Cash",Sum!M$397=L$5),Sum!M456,0)</f>
        <v>0</v>
      </c>
      <c r="M75" s="13">
        <f>IF(AND(Sum!$F456="Yes",Sum!$G456="Cash",Sum!N$397=M$5),Sum!N456,0)</f>
        <v>0</v>
      </c>
      <c r="N75" s="13">
        <f>IF(AND(Sum!$F456="Yes",Sum!$G456="Cash",Sum!O$397=N$5),Sum!O456,0)</f>
        <v>0</v>
      </c>
      <c r="O75" s="13">
        <f>IF(AND(Sum!$F456="Yes",Sum!$G456="Cash",Sum!P$397=O$5),Sum!P456,0)</f>
        <v>0</v>
      </c>
      <c r="P75" s="13">
        <f>IF(AND(Sum!$F456="Yes",Sum!$G456="Cash",Sum!Q$397=P$5),Sum!Q456,0)</f>
        <v>0</v>
      </c>
      <c r="Q75" s="264" t="str">
        <f>IF(AND(Sum!$F456="Yes",Sum!$G456="Cash"),Sum!$E456,"")</f>
        <v/>
      </c>
    </row>
    <row r="76" spans="1:17" ht="12.75" customHeight="1" x14ac:dyDescent="0.25">
      <c r="A76" s="18"/>
      <c r="B76" s="13" t="str">
        <f>IF(AND(Sum!$F457="Yes",Sum!$G457="Cash"),Sum!$B457,"")</f>
        <v/>
      </c>
      <c r="C76" s="13"/>
      <c r="D76" s="13"/>
      <c r="E76" s="13"/>
      <c r="F76" s="13"/>
      <c r="G76" s="153">
        <f>IF(AND(Sum!$F457="Yes",Sum!$G457="Cash",Sum!H$397=G$5),Sum!H457,0)</f>
        <v>0</v>
      </c>
      <c r="H76" s="13">
        <f>IF(AND(Sum!$F457="Yes",Sum!$G457="Cash",Sum!I$397=H$5),Sum!I457,0)</f>
        <v>0</v>
      </c>
      <c r="I76" s="13">
        <f>IF(AND(Sum!$F457="Yes",Sum!$G457="Cash",Sum!J$397=I$5),Sum!J457,0)</f>
        <v>0</v>
      </c>
      <c r="J76" s="13">
        <f>IF(AND(Sum!$F457="Yes",Sum!$G457="Cash",Sum!K$397=J$5),Sum!K457,0)</f>
        <v>0</v>
      </c>
      <c r="K76" s="13">
        <f>IF(AND(Sum!$F457="Yes",Sum!$G457="Cash",Sum!L$397=K$5),Sum!L457,0)</f>
        <v>0</v>
      </c>
      <c r="L76" s="13">
        <f>IF(AND(Sum!$F457="Yes",Sum!$G457="Cash",Sum!M$397=L$5),Sum!M457,0)</f>
        <v>0</v>
      </c>
      <c r="M76" s="13">
        <f>IF(AND(Sum!$F457="Yes",Sum!$G457="Cash",Sum!N$397=M$5),Sum!N457,0)</f>
        <v>0</v>
      </c>
      <c r="N76" s="13">
        <f>IF(AND(Sum!$F457="Yes",Sum!$G457="Cash",Sum!O$397=N$5),Sum!O457,0)</f>
        <v>0</v>
      </c>
      <c r="O76" s="13">
        <f>IF(AND(Sum!$F457="Yes",Sum!$G457="Cash",Sum!P$397=O$5),Sum!P457,0)</f>
        <v>0</v>
      </c>
      <c r="P76" s="13">
        <f>IF(AND(Sum!$F457="Yes",Sum!$G457="Cash",Sum!Q$397=P$5),Sum!Q457,0)</f>
        <v>0</v>
      </c>
      <c r="Q76" s="264" t="str">
        <f>IF(AND(Sum!$F457="Yes",Sum!$G457="Cash"),Sum!$E457,"")</f>
        <v/>
      </c>
    </row>
    <row r="77" spans="1:17" ht="12.75" customHeight="1" x14ac:dyDescent="0.25">
      <c r="A77" s="18"/>
      <c r="B77" s="13" t="str">
        <f>IF(AND(Sum!$F458="Yes",Sum!$G458="Cash"),Sum!$B458,"")</f>
        <v/>
      </c>
      <c r="C77" s="13"/>
      <c r="D77" s="13"/>
      <c r="E77" s="13"/>
      <c r="F77" s="13"/>
      <c r="G77" s="153">
        <f>IF(AND(Sum!$F458="Yes",Sum!$G458="Cash",Sum!H$397=G$5),Sum!H458,0)</f>
        <v>0</v>
      </c>
      <c r="H77" s="13">
        <f>IF(AND(Sum!$F458="Yes",Sum!$G458="Cash",Sum!I$397=H$5),Sum!I458,0)</f>
        <v>0</v>
      </c>
      <c r="I77" s="13">
        <f>IF(AND(Sum!$F458="Yes",Sum!$G458="Cash",Sum!J$397=I$5),Sum!J458,0)</f>
        <v>0</v>
      </c>
      <c r="J77" s="13">
        <f>IF(AND(Sum!$F458="Yes",Sum!$G458="Cash",Sum!K$397=J$5),Sum!K458,0)</f>
        <v>0</v>
      </c>
      <c r="K77" s="13">
        <f>IF(AND(Sum!$F458="Yes",Sum!$G458="Cash",Sum!L$397=K$5),Sum!L458,0)</f>
        <v>0</v>
      </c>
      <c r="L77" s="13">
        <f>IF(AND(Sum!$F458="Yes",Sum!$G458="Cash",Sum!M$397=L$5),Sum!M458,0)</f>
        <v>0</v>
      </c>
      <c r="M77" s="13">
        <f>IF(AND(Sum!$F458="Yes",Sum!$G458="Cash",Sum!N$397=M$5),Sum!N458,0)</f>
        <v>0</v>
      </c>
      <c r="N77" s="13">
        <f>IF(AND(Sum!$F458="Yes",Sum!$G458="Cash",Sum!O$397=N$5),Sum!O458,0)</f>
        <v>0</v>
      </c>
      <c r="O77" s="13">
        <f>IF(AND(Sum!$F458="Yes",Sum!$G458="Cash",Sum!P$397=O$5),Sum!P458,0)</f>
        <v>0</v>
      </c>
      <c r="P77" s="13">
        <f>IF(AND(Sum!$F458="Yes",Sum!$G458="Cash",Sum!Q$397=P$5),Sum!Q458,0)</f>
        <v>0</v>
      </c>
      <c r="Q77" s="264" t="str">
        <f>IF(AND(Sum!$F458="Yes",Sum!$G458="Cash"),Sum!$E458,"")</f>
        <v/>
      </c>
    </row>
    <row r="78" spans="1:17" ht="12.75" customHeight="1" x14ac:dyDescent="0.25">
      <c r="A78" s="18"/>
      <c r="B78" s="13" t="str">
        <f>IF(AND(Sum!$F459="Yes",Sum!$G459="Cash"),Sum!$B459,"")</f>
        <v/>
      </c>
      <c r="C78" s="13"/>
      <c r="D78" s="13"/>
      <c r="E78" s="13"/>
      <c r="F78" s="13"/>
      <c r="G78" s="153">
        <f>IF(AND(Sum!$F459="Yes",Sum!$G459="Cash",Sum!H$397=G$5),Sum!H459,0)</f>
        <v>0</v>
      </c>
      <c r="H78" s="13">
        <f>IF(AND(Sum!$F459="Yes",Sum!$G459="Cash",Sum!I$397=H$5),Sum!I459,0)</f>
        <v>0</v>
      </c>
      <c r="I78" s="13">
        <f>IF(AND(Sum!$F459="Yes",Sum!$G459="Cash",Sum!J$397=I$5),Sum!J459,0)</f>
        <v>0</v>
      </c>
      <c r="J78" s="13">
        <f>IF(AND(Sum!$F459="Yes",Sum!$G459="Cash",Sum!K$397=J$5),Sum!K459,0)</f>
        <v>0</v>
      </c>
      <c r="K78" s="13">
        <f>IF(AND(Sum!$F459="Yes",Sum!$G459="Cash",Sum!L$397=K$5),Sum!L459,0)</f>
        <v>0</v>
      </c>
      <c r="L78" s="13">
        <f>IF(AND(Sum!$F459="Yes",Sum!$G459="Cash",Sum!M$397=L$5),Sum!M459,0)</f>
        <v>0</v>
      </c>
      <c r="M78" s="13">
        <f>IF(AND(Sum!$F459="Yes",Sum!$G459="Cash",Sum!N$397=M$5),Sum!N459,0)</f>
        <v>0</v>
      </c>
      <c r="N78" s="13">
        <f>IF(AND(Sum!$F459="Yes",Sum!$G459="Cash",Sum!O$397=N$5),Sum!O459,0)</f>
        <v>0</v>
      </c>
      <c r="O78" s="13">
        <f>IF(AND(Sum!$F459="Yes",Sum!$G459="Cash",Sum!P$397=O$5),Sum!P459,0)</f>
        <v>0</v>
      </c>
      <c r="P78" s="13">
        <f>IF(AND(Sum!$F459="Yes",Sum!$G459="Cash",Sum!Q$397=P$5),Sum!Q459,0)</f>
        <v>0</v>
      </c>
      <c r="Q78" s="264" t="str">
        <f>IF(AND(Sum!$F459="Yes",Sum!$G459="Cash"),Sum!$E459,"")</f>
        <v/>
      </c>
    </row>
    <row r="79" spans="1:17" ht="12.75" customHeight="1" x14ac:dyDescent="0.25">
      <c r="A79" s="18"/>
      <c r="B79" s="13" t="str">
        <f>IF(AND(Sum!$F460="Yes",Sum!$G460="Cash"),Sum!$B460,"")</f>
        <v/>
      </c>
      <c r="C79" s="13"/>
      <c r="D79" s="13"/>
      <c r="E79" s="13"/>
      <c r="F79" s="13"/>
      <c r="G79" s="153">
        <f>IF(AND(Sum!$F460="Yes",Sum!$G460="Cash",Sum!H$397=G$5),Sum!H460,0)</f>
        <v>0</v>
      </c>
      <c r="H79" s="13">
        <f>IF(AND(Sum!$F460="Yes",Sum!$G460="Cash",Sum!I$397=H$5),Sum!I460,0)</f>
        <v>0</v>
      </c>
      <c r="I79" s="13">
        <f>IF(AND(Sum!$F460="Yes",Sum!$G460="Cash",Sum!J$397=I$5),Sum!J460,0)</f>
        <v>0</v>
      </c>
      <c r="J79" s="13">
        <f>IF(AND(Sum!$F460="Yes",Sum!$G460="Cash",Sum!K$397=J$5),Sum!K460,0)</f>
        <v>0</v>
      </c>
      <c r="K79" s="13">
        <f>IF(AND(Sum!$F460="Yes",Sum!$G460="Cash",Sum!L$397=K$5),Sum!L460,0)</f>
        <v>0</v>
      </c>
      <c r="L79" s="13">
        <f>IF(AND(Sum!$F460="Yes",Sum!$G460="Cash",Sum!M$397=L$5),Sum!M460,0)</f>
        <v>0</v>
      </c>
      <c r="M79" s="13">
        <f>IF(AND(Sum!$F460="Yes",Sum!$G460="Cash",Sum!N$397=M$5),Sum!N460,0)</f>
        <v>0</v>
      </c>
      <c r="N79" s="13">
        <f>IF(AND(Sum!$F460="Yes",Sum!$G460="Cash",Sum!O$397=N$5),Sum!O460,0)</f>
        <v>0</v>
      </c>
      <c r="O79" s="13">
        <f>IF(AND(Sum!$F460="Yes",Sum!$G460="Cash",Sum!P$397=O$5),Sum!P460,0)</f>
        <v>0</v>
      </c>
      <c r="P79" s="13">
        <f>IF(AND(Sum!$F460="Yes",Sum!$G460="Cash",Sum!Q$397=P$5),Sum!Q460,0)</f>
        <v>0</v>
      </c>
      <c r="Q79" s="264" t="str">
        <f>IF(AND(Sum!$F460="Yes",Sum!$G460="Cash"),Sum!$E460,"")</f>
        <v/>
      </c>
    </row>
    <row r="80" spans="1:17" ht="12.75" customHeight="1" x14ac:dyDescent="0.25">
      <c r="A80" s="18"/>
      <c r="B80" s="13" t="str">
        <f>IF(AND(Sum!$F461="Yes",Sum!$G461="Cash"),Sum!$B461,"")</f>
        <v/>
      </c>
      <c r="C80" s="13"/>
      <c r="D80" s="13"/>
      <c r="E80" s="13"/>
      <c r="F80" s="13"/>
      <c r="G80" s="153">
        <f>IF(AND(Sum!$F461="Yes",Sum!$G461="Cash",Sum!H$397=G$5),Sum!H461,0)</f>
        <v>0</v>
      </c>
      <c r="H80" s="13">
        <f>IF(AND(Sum!$F461="Yes",Sum!$G461="Cash",Sum!I$397=H$5),Sum!I461,0)</f>
        <v>0</v>
      </c>
      <c r="I80" s="13">
        <f>IF(AND(Sum!$F461="Yes",Sum!$G461="Cash",Sum!J$397=I$5),Sum!J461,0)</f>
        <v>0</v>
      </c>
      <c r="J80" s="13">
        <f>IF(AND(Sum!$F461="Yes",Sum!$G461="Cash",Sum!K$397=J$5),Sum!K461,0)</f>
        <v>0</v>
      </c>
      <c r="K80" s="13">
        <f>IF(AND(Sum!$F461="Yes",Sum!$G461="Cash",Sum!L$397=K$5),Sum!L461,0)</f>
        <v>0</v>
      </c>
      <c r="L80" s="13">
        <f>IF(AND(Sum!$F461="Yes",Sum!$G461="Cash",Sum!M$397=L$5),Sum!M461,0)</f>
        <v>0</v>
      </c>
      <c r="M80" s="13">
        <f>IF(AND(Sum!$F461="Yes",Sum!$G461="Cash",Sum!N$397=M$5),Sum!N461,0)</f>
        <v>0</v>
      </c>
      <c r="N80" s="13">
        <f>IF(AND(Sum!$F461="Yes",Sum!$G461="Cash",Sum!O$397=N$5),Sum!O461,0)</f>
        <v>0</v>
      </c>
      <c r="O80" s="13">
        <f>IF(AND(Sum!$F461="Yes",Sum!$G461="Cash",Sum!P$397=O$5),Sum!P461,0)</f>
        <v>0</v>
      </c>
      <c r="P80" s="13">
        <f>IF(AND(Sum!$F461="Yes",Sum!$G461="Cash",Sum!Q$397=P$5),Sum!Q461,0)</f>
        <v>0</v>
      </c>
      <c r="Q80" s="264" t="str">
        <f>IF(AND(Sum!$F461="Yes",Sum!$G461="Cash"),Sum!$E461,"")</f>
        <v/>
      </c>
    </row>
    <row r="81" spans="1:17" ht="12.75" customHeight="1" x14ac:dyDescent="0.25">
      <c r="A81" s="18"/>
      <c r="B81" s="13" t="str">
        <f>IF(AND(Sum!$F462="Yes",Sum!$G462="Cash"),Sum!$B462,"")</f>
        <v/>
      </c>
      <c r="C81" s="13"/>
      <c r="D81" s="13"/>
      <c r="E81" s="13"/>
      <c r="F81" s="13"/>
      <c r="G81" s="153">
        <f>IF(AND(Sum!$F462="Yes",Sum!$G462="Cash",Sum!H$397=G$5),Sum!H462,0)</f>
        <v>0</v>
      </c>
      <c r="H81" s="13">
        <f>IF(AND(Sum!$F462="Yes",Sum!$G462="Cash",Sum!I$397=H$5),Sum!I462,0)</f>
        <v>0</v>
      </c>
      <c r="I81" s="13">
        <f>IF(AND(Sum!$F462="Yes",Sum!$G462="Cash",Sum!J$397=I$5),Sum!J462,0)</f>
        <v>0</v>
      </c>
      <c r="J81" s="13">
        <f>IF(AND(Sum!$F462="Yes",Sum!$G462="Cash",Sum!K$397=J$5),Sum!K462,0)</f>
        <v>0</v>
      </c>
      <c r="K81" s="13">
        <f>IF(AND(Sum!$F462="Yes",Sum!$G462="Cash",Sum!L$397=K$5),Sum!L462,0)</f>
        <v>0</v>
      </c>
      <c r="L81" s="13">
        <f>IF(AND(Sum!$F462="Yes",Sum!$G462="Cash",Sum!M$397=L$5),Sum!M462,0)</f>
        <v>0</v>
      </c>
      <c r="M81" s="13">
        <f>IF(AND(Sum!$F462="Yes",Sum!$G462="Cash",Sum!N$397=M$5),Sum!N462,0)</f>
        <v>0</v>
      </c>
      <c r="N81" s="13">
        <f>IF(AND(Sum!$F462="Yes",Sum!$G462="Cash",Sum!O$397=N$5),Sum!O462,0)</f>
        <v>0</v>
      </c>
      <c r="O81" s="13">
        <f>IF(AND(Sum!$F462="Yes",Sum!$G462="Cash",Sum!P$397=O$5),Sum!P462,0)</f>
        <v>0</v>
      </c>
      <c r="P81" s="13">
        <f>IF(AND(Sum!$F462="Yes",Sum!$G462="Cash",Sum!Q$397=P$5),Sum!Q462,0)</f>
        <v>0</v>
      </c>
      <c r="Q81" s="264" t="str">
        <f>IF(AND(Sum!$F462="Yes",Sum!$G462="Cash"),Sum!$E462,"")</f>
        <v/>
      </c>
    </row>
    <row r="82" spans="1:17" ht="12.75" customHeight="1" x14ac:dyDescent="0.25">
      <c r="A82" s="18"/>
      <c r="B82" s="13" t="str">
        <f>IF(AND(Sum!$F463="Yes",Sum!$G463="Cash"),Sum!$B463,"")</f>
        <v/>
      </c>
      <c r="C82" s="13"/>
      <c r="D82" s="13"/>
      <c r="E82" s="13"/>
      <c r="F82" s="13"/>
      <c r="G82" s="153">
        <f>IF(AND(Sum!$F463="Yes",Sum!$G463="Cash",Sum!H$397=G$5),Sum!H463,0)</f>
        <v>0</v>
      </c>
      <c r="H82" s="13">
        <f>IF(AND(Sum!$F463="Yes",Sum!$G463="Cash",Sum!I$397=H$5),Sum!I463,0)</f>
        <v>0</v>
      </c>
      <c r="I82" s="13">
        <f>IF(AND(Sum!$F463="Yes",Sum!$G463="Cash",Sum!J$397=I$5),Sum!J463,0)</f>
        <v>0</v>
      </c>
      <c r="J82" s="13">
        <f>IF(AND(Sum!$F463="Yes",Sum!$G463="Cash",Sum!K$397=J$5),Sum!K463,0)</f>
        <v>0</v>
      </c>
      <c r="K82" s="13">
        <f>IF(AND(Sum!$F463="Yes",Sum!$G463="Cash",Sum!L$397=K$5),Sum!L463,0)</f>
        <v>0</v>
      </c>
      <c r="L82" s="13">
        <f>IF(AND(Sum!$F463="Yes",Sum!$G463="Cash",Sum!M$397=L$5),Sum!M463,0)</f>
        <v>0</v>
      </c>
      <c r="M82" s="13">
        <f>IF(AND(Sum!$F463="Yes",Sum!$G463="Cash",Sum!N$397=M$5),Sum!N463,0)</f>
        <v>0</v>
      </c>
      <c r="N82" s="13">
        <f>IF(AND(Sum!$F463="Yes",Sum!$G463="Cash",Sum!O$397=N$5),Sum!O463,0)</f>
        <v>0</v>
      </c>
      <c r="O82" s="13">
        <f>IF(AND(Sum!$F463="Yes",Sum!$G463="Cash",Sum!P$397=O$5),Sum!P463,0)</f>
        <v>0</v>
      </c>
      <c r="P82" s="13">
        <f>IF(AND(Sum!$F463="Yes",Sum!$G463="Cash",Sum!Q$397=P$5),Sum!Q463,0)</f>
        <v>0</v>
      </c>
      <c r="Q82" s="264" t="str">
        <f>IF(AND(Sum!$F463="Yes",Sum!$G463="Cash"),Sum!$E463,"")</f>
        <v/>
      </c>
    </row>
    <row r="83" spans="1:17" ht="12.75" customHeight="1" x14ac:dyDescent="0.25">
      <c r="A83" s="18"/>
      <c r="B83" s="13" t="str">
        <f>IF(AND(Sum!$F464="Yes",Sum!$G464="Cash"),Sum!$B464,"")</f>
        <v/>
      </c>
      <c r="C83" s="13"/>
      <c r="D83" s="13"/>
      <c r="E83" s="13"/>
      <c r="F83" s="13"/>
      <c r="G83" s="153">
        <f>IF(AND(Sum!$F464="Yes",Sum!$G464="Cash",Sum!H$397=G$5),Sum!H464,0)</f>
        <v>0</v>
      </c>
      <c r="H83" s="13">
        <f>IF(AND(Sum!$F464="Yes",Sum!$G464="Cash",Sum!I$397=H$5),Sum!I464,0)</f>
        <v>0</v>
      </c>
      <c r="I83" s="13">
        <f>IF(AND(Sum!$F464="Yes",Sum!$G464="Cash",Sum!J$397=I$5),Sum!J464,0)</f>
        <v>0</v>
      </c>
      <c r="J83" s="13">
        <f>IF(AND(Sum!$F464="Yes",Sum!$G464="Cash",Sum!K$397=J$5),Sum!K464,0)</f>
        <v>0</v>
      </c>
      <c r="K83" s="13">
        <f>IF(AND(Sum!$F464="Yes",Sum!$G464="Cash",Sum!L$397=K$5),Sum!L464,0)</f>
        <v>0</v>
      </c>
      <c r="L83" s="13">
        <f>IF(AND(Sum!$F464="Yes",Sum!$G464="Cash",Sum!M$397=L$5),Sum!M464,0)</f>
        <v>0</v>
      </c>
      <c r="M83" s="13">
        <f>IF(AND(Sum!$F464="Yes",Sum!$G464="Cash",Sum!N$397=M$5),Sum!N464,0)</f>
        <v>0</v>
      </c>
      <c r="N83" s="13">
        <f>IF(AND(Sum!$F464="Yes",Sum!$G464="Cash",Sum!O$397=N$5),Sum!O464,0)</f>
        <v>0</v>
      </c>
      <c r="O83" s="13">
        <f>IF(AND(Sum!$F464="Yes",Sum!$G464="Cash",Sum!P$397=O$5),Sum!P464,0)</f>
        <v>0</v>
      </c>
      <c r="P83" s="13">
        <f>IF(AND(Sum!$F464="Yes",Sum!$G464="Cash",Sum!Q$397=P$5),Sum!Q464,0)</f>
        <v>0</v>
      </c>
      <c r="Q83" s="264" t="str">
        <f>IF(AND(Sum!$F464="Yes",Sum!$G464="Cash"),Sum!$E464,"")</f>
        <v/>
      </c>
    </row>
    <row r="84" spans="1:17" ht="12.75" customHeight="1" x14ac:dyDescent="0.25">
      <c r="A84" s="18"/>
      <c r="B84" s="13" t="str">
        <f>IF(AND(Sum!$F465="Yes",Sum!$G465="Cash"),Sum!$B465,"")</f>
        <v/>
      </c>
      <c r="C84" s="13"/>
      <c r="D84" s="13"/>
      <c r="E84" s="13"/>
      <c r="F84" s="13"/>
      <c r="G84" s="153">
        <f>IF(AND(Sum!$F465="Yes",Sum!$G465="Cash",Sum!H$397=G$5),Sum!H465,0)</f>
        <v>0</v>
      </c>
      <c r="H84" s="13">
        <f>IF(AND(Sum!$F465="Yes",Sum!$G465="Cash",Sum!I$397=H$5),Sum!I465,0)</f>
        <v>0</v>
      </c>
      <c r="I84" s="13">
        <f>IF(AND(Sum!$F465="Yes",Sum!$G465="Cash",Sum!J$397=I$5),Sum!J465,0)</f>
        <v>0</v>
      </c>
      <c r="J84" s="13">
        <f>IF(AND(Sum!$F465="Yes",Sum!$G465="Cash",Sum!K$397=J$5),Sum!K465,0)</f>
        <v>0</v>
      </c>
      <c r="K84" s="13">
        <f>IF(AND(Sum!$F465="Yes",Sum!$G465="Cash",Sum!L$397=K$5),Sum!L465,0)</f>
        <v>0</v>
      </c>
      <c r="L84" s="13">
        <f>IF(AND(Sum!$F465="Yes",Sum!$G465="Cash",Sum!M$397=L$5),Sum!M465,0)</f>
        <v>0</v>
      </c>
      <c r="M84" s="13">
        <f>IF(AND(Sum!$F465="Yes",Sum!$G465="Cash",Sum!N$397=M$5),Sum!N465,0)</f>
        <v>0</v>
      </c>
      <c r="N84" s="13">
        <f>IF(AND(Sum!$F465="Yes",Sum!$G465="Cash",Sum!O$397=N$5),Sum!O465,0)</f>
        <v>0</v>
      </c>
      <c r="O84" s="13">
        <f>IF(AND(Sum!$F465="Yes",Sum!$G465="Cash",Sum!P$397=O$5),Sum!P465,0)</f>
        <v>0</v>
      </c>
      <c r="P84" s="13">
        <f>IF(AND(Sum!$F465="Yes",Sum!$G465="Cash",Sum!Q$397=P$5),Sum!Q465,0)</f>
        <v>0</v>
      </c>
      <c r="Q84" s="264" t="str">
        <f>IF(AND(Sum!$F465="Yes",Sum!$G465="Cash"),Sum!$E465,"")</f>
        <v/>
      </c>
    </row>
    <row r="85" spans="1:17" ht="12.75" customHeight="1" x14ac:dyDescent="0.25">
      <c r="A85" s="18"/>
      <c r="B85" s="13" t="str">
        <f>IF(AND(Sum!$F466="Yes",Sum!$G466="Cash"),Sum!$B466,"")</f>
        <v/>
      </c>
      <c r="C85" s="13"/>
      <c r="D85" s="13"/>
      <c r="E85" s="13"/>
      <c r="F85" s="13"/>
      <c r="G85" s="153">
        <f>IF(AND(Sum!$F466="Yes",Sum!$G466="Cash",Sum!H$397=G$5),Sum!H466,0)</f>
        <v>0</v>
      </c>
      <c r="H85" s="13">
        <f>IF(AND(Sum!$F466="Yes",Sum!$G466="Cash",Sum!I$397=H$5),Sum!I466,0)</f>
        <v>0</v>
      </c>
      <c r="I85" s="13">
        <f>IF(AND(Sum!$F466="Yes",Sum!$G466="Cash",Sum!J$397=I$5),Sum!J466,0)</f>
        <v>0</v>
      </c>
      <c r="J85" s="13">
        <f>IF(AND(Sum!$F466="Yes",Sum!$G466="Cash",Sum!K$397=J$5),Sum!K466,0)</f>
        <v>0</v>
      </c>
      <c r="K85" s="13">
        <f>IF(AND(Sum!$F466="Yes",Sum!$G466="Cash",Sum!L$397=K$5),Sum!L466,0)</f>
        <v>0</v>
      </c>
      <c r="L85" s="13">
        <f>IF(AND(Sum!$F466="Yes",Sum!$G466="Cash",Sum!M$397=L$5),Sum!M466,0)</f>
        <v>0</v>
      </c>
      <c r="M85" s="13">
        <f>IF(AND(Sum!$F466="Yes",Sum!$G466="Cash",Sum!N$397=M$5),Sum!N466,0)</f>
        <v>0</v>
      </c>
      <c r="N85" s="13">
        <f>IF(AND(Sum!$F466="Yes",Sum!$G466="Cash",Sum!O$397=N$5),Sum!O466,0)</f>
        <v>0</v>
      </c>
      <c r="O85" s="13">
        <f>IF(AND(Sum!$F466="Yes",Sum!$G466="Cash",Sum!P$397=O$5),Sum!P466,0)</f>
        <v>0</v>
      </c>
      <c r="P85" s="13">
        <f>IF(AND(Sum!$F466="Yes",Sum!$G466="Cash",Sum!Q$397=P$5),Sum!Q466,0)</f>
        <v>0</v>
      </c>
      <c r="Q85" s="264" t="str">
        <f>IF(AND(Sum!$F466="Yes",Sum!$G466="Cash"),Sum!$E466,"")</f>
        <v/>
      </c>
    </row>
    <row r="86" spans="1:17" ht="12.75" customHeight="1" x14ac:dyDescent="0.25">
      <c r="A86" s="18"/>
      <c r="B86" s="13" t="str">
        <f>IF(AND(Sum!$F467="Yes",Sum!$G467="Cash"),Sum!$B467,"")</f>
        <v/>
      </c>
      <c r="C86" s="13"/>
      <c r="D86" s="13"/>
      <c r="E86" s="13"/>
      <c r="F86" s="13"/>
      <c r="G86" s="153">
        <f>IF(AND(Sum!$F467="Yes",Sum!$G467="Cash",Sum!H$397=G$5),Sum!H467,0)</f>
        <v>0</v>
      </c>
      <c r="H86" s="13">
        <f>IF(AND(Sum!$F467="Yes",Sum!$G467="Cash",Sum!I$397=H$5),Sum!I467,0)</f>
        <v>0</v>
      </c>
      <c r="I86" s="13">
        <f>IF(AND(Sum!$F467="Yes",Sum!$G467="Cash",Sum!J$397=I$5),Sum!J467,0)</f>
        <v>0</v>
      </c>
      <c r="J86" s="13">
        <f>IF(AND(Sum!$F467="Yes",Sum!$G467="Cash",Sum!K$397=J$5),Sum!K467,0)</f>
        <v>0</v>
      </c>
      <c r="K86" s="13">
        <f>IF(AND(Sum!$F467="Yes",Sum!$G467="Cash",Sum!L$397=K$5),Sum!L467,0)</f>
        <v>0</v>
      </c>
      <c r="L86" s="13">
        <f>IF(AND(Sum!$F467="Yes",Sum!$G467="Cash",Sum!M$397=L$5),Sum!M467,0)</f>
        <v>0</v>
      </c>
      <c r="M86" s="13">
        <f>IF(AND(Sum!$F467="Yes",Sum!$G467="Cash",Sum!N$397=M$5),Sum!N467,0)</f>
        <v>0</v>
      </c>
      <c r="N86" s="13">
        <f>IF(AND(Sum!$F467="Yes",Sum!$G467="Cash",Sum!O$397=N$5),Sum!O467,0)</f>
        <v>0</v>
      </c>
      <c r="O86" s="13">
        <f>IF(AND(Sum!$F467="Yes",Sum!$G467="Cash",Sum!P$397=O$5),Sum!P467,0)</f>
        <v>0</v>
      </c>
      <c r="P86" s="13">
        <f>IF(AND(Sum!$F467="Yes",Sum!$G467="Cash",Sum!Q$397=P$5),Sum!Q467,0)</f>
        <v>0</v>
      </c>
      <c r="Q86" s="264" t="str">
        <f>IF(AND(Sum!$F467="Yes",Sum!$G467="Cash"),Sum!$E467,"")</f>
        <v/>
      </c>
    </row>
    <row r="87" spans="1:17" ht="12.75" customHeight="1" x14ac:dyDescent="0.25">
      <c r="A87" s="18"/>
      <c r="B87" s="13" t="str">
        <f>IF(AND(Sum!$F468="Yes",Sum!$G468="Cash"),Sum!$B468,"")</f>
        <v/>
      </c>
      <c r="C87" s="13"/>
      <c r="D87" s="13"/>
      <c r="E87" s="13"/>
      <c r="F87" s="13"/>
      <c r="G87" s="153">
        <f>IF(AND(Sum!$F468="Yes",Sum!$G468="Cash",Sum!H$397=G$5),Sum!H468,0)</f>
        <v>0</v>
      </c>
      <c r="H87" s="13">
        <f>IF(AND(Sum!$F468="Yes",Sum!$G468="Cash",Sum!I$397=H$5),Sum!I468,0)</f>
        <v>0</v>
      </c>
      <c r="I87" s="13">
        <f>IF(AND(Sum!$F468="Yes",Sum!$G468="Cash",Sum!J$397=I$5),Sum!J468,0)</f>
        <v>0</v>
      </c>
      <c r="J87" s="13">
        <f>IF(AND(Sum!$F468="Yes",Sum!$G468="Cash",Sum!K$397=J$5),Sum!K468,0)</f>
        <v>0</v>
      </c>
      <c r="K87" s="13">
        <f>IF(AND(Sum!$F468="Yes",Sum!$G468="Cash",Sum!L$397=K$5),Sum!L468,0)</f>
        <v>0</v>
      </c>
      <c r="L87" s="13">
        <f>IF(AND(Sum!$F468="Yes",Sum!$G468="Cash",Sum!M$397=L$5),Sum!M468,0)</f>
        <v>0</v>
      </c>
      <c r="M87" s="13">
        <f>IF(AND(Sum!$F468="Yes",Sum!$G468="Cash",Sum!N$397=M$5),Sum!N468,0)</f>
        <v>0</v>
      </c>
      <c r="N87" s="13">
        <f>IF(AND(Sum!$F468="Yes",Sum!$G468="Cash",Sum!O$397=N$5),Sum!O468,0)</f>
        <v>0</v>
      </c>
      <c r="O87" s="13">
        <f>IF(AND(Sum!$F468="Yes",Sum!$G468="Cash",Sum!P$397=O$5),Sum!P468,0)</f>
        <v>0</v>
      </c>
      <c r="P87" s="13">
        <f>IF(AND(Sum!$F468="Yes",Sum!$G468="Cash",Sum!Q$397=P$5),Sum!Q468,0)</f>
        <v>0</v>
      </c>
      <c r="Q87" s="264" t="str">
        <f>IF(AND(Sum!$F468="Yes",Sum!$G468="Cash"),Sum!$E468,"")</f>
        <v/>
      </c>
    </row>
    <row r="88" spans="1:17" ht="12.75" customHeight="1" x14ac:dyDescent="0.25">
      <c r="A88" s="18"/>
      <c r="B88" s="13" t="str">
        <f>IF(AND(Sum!$F469="Yes",Sum!$G469="Cash"),Sum!$B469,"")</f>
        <v/>
      </c>
      <c r="C88" s="13"/>
      <c r="D88" s="13"/>
      <c r="E88" s="13"/>
      <c r="F88" s="13"/>
      <c r="G88" s="153">
        <f>IF(AND(Sum!$F469="Yes",Sum!$G469="Cash",Sum!H$397=G$5),Sum!H469,0)</f>
        <v>0</v>
      </c>
      <c r="H88" s="13">
        <f>IF(AND(Sum!$F469="Yes",Sum!$G469="Cash",Sum!I$397=H$5),Sum!I469,0)</f>
        <v>0</v>
      </c>
      <c r="I88" s="13">
        <f>IF(AND(Sum!$F469="Yes",Sum!$G469="Cash",Sum!J$397=I$5),Sum!J469,0)</f>
        <v>0</v>
      </c>
      <c r="J88" s="13">
        <f>IF(AND(Sum!$F469="Yes",Sum!$G469="Cash",Sum!K$397=J$5),Sum!K469,0)</f>
        <v>0</v>
      </c>
      <c r="K88" s="13">
        <f>IF(AND(Sum!$F469="Yes",Sum!$G469="Cash",Sum!L$397=K$5),Sum!L469,0)</f>
        <v>0</v>
      </c>
      <c r="L88" s="13">
        <f>IF(AND(Sum!$F469="Yes",Sum!$G469="Cash",Sum!M$397=L$5),Sum!M469,0)</f>
        <v>0</v>
      </c>
      <c r="M88" s="13">
        <f>IF(AND(Sum!$F469="Yes",Sum!$G469="Cash",Sum!N$397=M$5),Sum!N469,0)</f>
        <v>0</v>
      </c>
      <c r="N88" s="13">
        <f>IF(AND(Sum!$F469="Yes",Sum!$G469="Cash",Sum!O$397=N$5),Sum!O469,0)</f>
        <v>0</v>
      </c>
      <c r="O88" s="13">
        <f>IF(AND(Sum!$F469="Yes",Sum!$G469="Cash",Sum!P$397=O$5),Sum!P469,0)</f>
        <v>0</v>
      </c>
      <c r="P88" s="13">
        <f>IF(AND(Sum!$F469="Yes",Sum!$G469="Cash",Sum!Q$397=P$5),Sum!Q469,0)</f>
        <v>0</v>
      </c>
      <c r="Q88" s="264" t="str">
        <f>IF(AND(Sum!$F469="Yes",Sum!$G469="Cash"),Sum!$E469,"")</f>
        <v/>
      </c>
    </row>
    <row r="89" spans="1:17" ht="12.75" customHeight="1" x14ac:dyDescent="0.25">
      <c r="A89" s="18"/>
      <c r="B89" s="13" t="str">
        <f>IF(AND(Sum!$F470="Yes",Sum!$G470="Cash"),Sum!$B470,"")</f>
        <v/>
      </c>
      <c r="C89" s="13"/>
      <c r="D89" s="13"/>
      <c r="E89" s="13"/>
      <c r="F89" s="13"/>
      <c r="G89" s="153">
        <f>IF(AND(Sum!$F470="Yes",Sum!$G470="Cash",Sum!H$397=G$5),Sum!H470,0)</f>
        <v>0</v>
      </c>
      <c r="H89" s="13">
        <f>IF(AND(Sum!$F470="Yes",Sum!$G470="Cash",Sum!I$397=H$5),Sum!I470,0)</f>
        <v>0</v>
      </c>
      <c r="I89" s="13">
        <f>IF(AND(Sum!$F470="Yes",Sum!$G470="Cash",Sum!J$397=I$5),Sum!J470,0)</f>
        <v>0</v>
      </c>
      <c r="J89" s="13">
        <f>IF(AND(Sum!$F470="Yes",Sum!$G470="Cash",Sum!K$397=J$5),Sum!K470,0)</f>
        <v>0</v>
      </c>
      <c r="K89" s="13">
        <f>IF(AND(Sum!$F470="Yes",Sum!$G470="Cash",Sum!L$397=K$5),Sum!L470,0)</f>
        <v>0</v>
      </c>
      <c r="L89" s="13">
        <f>IF(AND(Sum!$F470="Yes",Sum!$G470="Cash",Sum!M$397=L$5),Sum!M470,0)</f>
        <v>0</v>
      </c>
      <c r="M89" s="13">
        <f>IF(AND(Sum!$F470="Yes",Sum!$G470="Cash",Sum!N$397=M$5),Sum!N470,0)</f>
        <v>0</v>
      </c>
      <c r="N89" s="13">
        <f>IF(AND(Sum!$F470="Yes",Sum!$G470="Cash",Sum!O$397=N$5),Sum!O470,0)</f>
        <v>0</v>
      </c>
      <c r="O89" s="13">
        <f>IF(AND(Sum!$F470="Yes",Sum!$G470="Cash",Sum!P$397=O$5),Sum!P470,0)</f>
        <v>0</v>
      </c>
      <c r="P89" s="13">
        <f>IF(AND(Sum!$F470="Yes",Sum!$G470="Cash",Sum!Q$397=P$5),Sum!Q470,0)</f>
        <v>0</v>
      </c>
      <c r="Q89" s="264" t="str">
        <f>IF(AND(Sum!$F470="Yes",Sum!$G470="Cash"),Sum!$E470,"")</f>
        <v/>
      </c>
    </row>
    <row r="90" spans="1:17" ht="12.75" customHeight="1" x14ac:dyDescent="0.25">
      <c r="A90" s="18"/>
      <c r="B90" s="13" t="str">
        <f>IF(AND(Sum!$F471="Yes",Sum!$G471="Cash"),Sum!$B471,"")</f>
        <v/>
      </c>
      <c r="C90" s="13"/>
      <c r="D90" s="13"/>
      <c r="E90" s="13"/>
      <c r="F90" s="13"/>
      <c r="G90" s="153">
        <f>IF(AND(Sum!$F471="Yes",Sum!$G471="Cash",Sum!H$397=G$5),Sum!H471,0)</f>
        <v>0</v>
      </c>
      <c r="H90" s="13">
        <f>IF(AND(Sum!$F471="Yes",Sum!$G471="Cash",Sum!I$397=H$5),Sum!I471,0)</f>
        <v>0</v>
      </c>
      <c r="I90" s="13">
        <f>IF(AND(Sum!$F471="Yes",Sum!$G471="Cash",Sum!J$397=I$5),Sum!J471,0)</f>
        <v>0</v>
      </c>
      <c r="J90" s="13">
        <f>IF(AND(Sum!$F471="Yes",Sum!$G471="Cash",Sum!K$397=J$5),Sum!K471,0)</f>
        <v>0</v>
      </c>
      <c r="K90" s="13">
        <f>IF(AND(Sum!$F471="Yes",Sum!$G471="Cash",Sum!L$397=K$5),Sum!L471,0)</f>
        <v>0</v>
      </c>
      <c r="L90" s="13">
        <f>IF(AND(Sum!$F471="Yes",Sum!$G471="Cash",Sum!M$397=L$5),Sum!M471,0)</f>
        <v>0</v>
      </c>
      <c r="M90" s="13">
        <f>IF(AND(Sum!$F471="Yes",Sum!$G471="Cash",Sum!N$397=M$5),Sum!N471,0)</f>
        <v>0</v>
      </c>
      <c r="N90" s="13">
        <f>IF(AND(Sum!$F471="Yes",Sum!$G471="Cash",Sum!O$397=N$5),Sum!O471,0)</f>
        <v>0</v>
      </c>
      <c r="O90" s="13">
        <f>IF(AND(Sum!$F471="Yes",Sum!$G471="Cash",Sum!P$397=O$5),Sum!P471,0)</f>
        <v>0</v>
      </c>
      <c r="P90" s="13">
        <f>IF(AND(Sum!$F471="Yes",Sum!$G471="Cash",Sum!Q$397=P$5),Sum!Q471,0)</f>
        <v>0</v>
      </c>
      <c r="Q90" s="264" t="str">
        <f>IF(AND(Sum!$F471="Yes",Sum!$G471="Cash"),Sum!$E471,"")</f>
        <v/>
      </c>
    </row>
    <row r="91" spans="1:17" ht="12.75" customHeight="1" x14ac:dyDescent="0.25">
      <c r="A91" s="18"/>
      <c r="B91" s="13" t="str">
        <f>IF(AND(Sum!$F472="Yes",Sum!$G472="Cash"),Sum!$B472,"")</f>
        <v/>
      </c>
      <c r="C91" s="13"/>
      <c r="D91" s="13"/>
      <c r="E91" s="13"/>
      <c r="F91" s="13"/>
      <c r="G91" s="153">
        <f>IF(AND(Sum!$F472="Yes",Sum!$G472="Cash",Sum!H$397=G$5),Sum!H472,0)</f>
        <v>0</v>
      </c>
      <c r="H91" s="13">
        <f>IF(AND(Sum!$F472="Yes",Sum!$G472="Cash",Sum!I$397=H$5),Sum!I472,0)</f>
        <v>0</v>
      </c>
      <c r="I91" s="13">
        <f>IF(AND(Sum!$F472="Yes",Sum!$G472="Cash",Sum!J$397=I$5),Sum!J472,0)</f>
        <v>0</v>
      </c>
      <c r="J91" s="13">
        <f>IF(AND(Sum!$F472="Yes",Sum!$G472="Cash",Sum!K$397=J$5),Sum!K472,0)</f>
        <v>0</v>
      </c>
      <c r="K91" s="13">
        <f>IF(AND(Sum!$F472="Yes",Sum!$G472="Cash",Sum!L$397=K$5),Sum!L472,0)</f>
        <v>0</v>
      </c>
      <c r="L91" s="13">
        <f>IF(AND(Sum!$F472="Yes",Sum!$G472="Cash",Sum!M$397=L$5),Sum!M472,0)</f>
        <v>0</v>
      </c>
      <c r="M91" s="13">
        <f>IF(AND(Sum!$F472="Yes",Sum!$G472="Cash",Sum!N$397=M$5),Sum!N472,0)</f>
        <v>0</v>
      </c>
      <c r="N91" s="13">
        <f>IF(AND(Sum!$F472="Yes",Sum!$G472="Cash",Sum!O$397=N$5),Sum!O472,0)</f>
        <v>0</v>
      </c>
      <c r="O91" s="13">
        <f>IF(AND(Sum!$F472="Yes",Sum!$G472="Cash",Sum!P$397=O$5),Sum!P472,0)</f>
        <v>0</v>
      </c>
      <c r="P91" s="13">
        <f>IF(AND(Sum!$F472="Yes",Sum!$G472="Cash",Sum!Q$397=P$5),Sum!Q472,0)</f>
        <v>0</v>
      </c>
      <c r="Q91" s="264" t="str">
        <f>IF(AND(Sum!$F472="Yes",Sum!$G472="Cash"),Sum!$E472,"")</f>
        <v/>
      </c>
    </row>
    <row r="92" spans="1:17" ht="12.75" customHeight="1" x14ac:dyDescent="0.25">
      <c r="A92" s="18"/>
      <c r="B92" s="13" t="str">
        <f>IF(AND(Sum!$F473="Yes",Sum!$G473="Cash"),Sum!$B473,"")</f>
        <v/>
      </c>
      <c r="C92" s="13"/>
      <c r="D92" s="13"/>
      <c r="E92" s="13"/>
      <c r="F92" s="13"/>
      <c r="G92" s="153">
        <f>IF(AND(Sum!$F473="Yes",Sum!$G473="Cash",Sum!H$397=G$5),Sum!H473,0)</f>
        <v>0</v>
      </c>
      <c r="H92" s="13">
        <f>IF(AND(Sum!$F473="Yes",Sum!$G473="Cash",Sum!I$397=H$5),Sum!I473,0)</f>
        <v>0</v>
      </c>
      <c r="I92" s="13">
        <f>IF(AND(Sum!$F473="Yes",Sum!$G473="Cash",Sum!J$397=I$5),Sum!J473,0)</f>
        <v>0</v>
      </c>
      <c r="J92" s="13">
        <f>IF(AND(Sum!$F473="Yes",Sum!$G473="Cash",Sum!K$397=J$5),Sum!K473,0)</f>
        <v>0</v>
      </c>
      <c r="K92" s="13">
        <f>IF(AND(Sum!$F473="Yes",Sum!$G473="Cash",Sum!L$397=K$5),Sum!L473,0)</f>
        <v>0</v>
      </c>
      <c r="L92" s="13">
        <f>IF(AND(Sum!$F473="Yes",Sum!$G473="Cash",Sum!M$397=L$5),Sum!M473,0)</f>
        <v>0</v>
      </c>
      <c r="M92" s="13">
        <f>IF(AND(Sum!$F473="Yes",Sum!$G473="Cash",Sum!N$397=M$5),Sum!N473,0)</f>
        <v>0</v>
      </c>
      <c r="N92" s="13">
        <f>IF(AND(Sum!$F473="Yes",Sum!$G473="Cash",Sum!O$397=N$5),Sum!O473,0)</f>
        <v>0</v>
      </c>
      <c r="O92" s="13">
        <f>IF(AND(Sum!$F473="Yes",Sum!$G473="Cash",Sum!P$397=O$5),Sum!P473,0)</f>
        <v>0</v>
      </c>
      <c r="P92" s="13">
        <f>IF(AND(Sum!$F473="Yes",Sum!$G473="Cash",Sum!Q$397=P$5),Sum!Q473,0)</f>
        <v>0</v>
      </c>
      <c r="Q92" s="264" t="str">
        <f>IF(AND(Sum!$F473="Yes",Sum!$G473="Cash"),Sum!$E473,"")</f>
        <v/>
      </c>
    </row>
    <row r="93" spans="1:17" ht="12.75" customHeight="1" x14ac:dyDescent="0.25">
      <c r="A93" s="18"/>
      <c r="B93" s="13" t="str">
        <f>IF(AND(Sum!$F474="Yes",Sum!$G474="Cash"),Sum!$B474,"")</f>
        <v/>
      </c>
      <c r="C93" s="13"/>
      <c r="D93" s="13"/>
      <c r="E93" s="13"/>
      <c r="F93" s="13"/>
      <c r="G93" s="153">
        <f>IF(AND(Sum!$F474="Yes",Sum!$G474="Cash",Sum!H$397=G$5),Sum!H474,0)</f>
        <v>0</v>
      </c>
      <c r="H93" s="13">
        <f>IF(AND(Sum!$F474="Yes",Sum!$G474="Cash",Sum!I$397=H$5),Sum!I474,0)</f>
        <v>0</v>
      </c>
      <c r="I93" s="13">
        <f>IF(AND(Sum!$F474="Yes",Sum!$G474="Cash",Sum!J$397=I$5),Sum!J474,0)</f>
        <v>0</v>
      </c>
      <c r="J93" s="13">
        <f>IF(AND(Sum!$F474="Yes",Sum!$G474="Cash",Sum!K$397=J$5),Sum!K474,0)</f>
        <v>0</v>
      </c>
      <c r="K93" s="13">
        <f>IF(AND(Sum!$F474="Yes",Sum!$G474="Cash",Sum!L$397=K$5),Sum!L474,0)</f>
        <v>0</v>
      </c>
      <c r="L93" s="13">
        <f>IF(AND(Sum!$F474="Yes",Sum!$G474="Cash",Sum!M$397=L$5),Sum!M474,0)</f>
        <v>0</v>
      </c>
      <c r="M93" s="13">
        <f>IF(AND(Sum!$F474="Yes",Sum!$G474="Cash",Sum!N$397=M$5),Sum!N474,0)</f>
        <v>0</v>
      </c>
      <c r="N93" s="13">
        <f>IF(AND(Sum!$F474="Yes",Sum!$G474="Cash",Sum!O$397=N$5),Sum!O474,0)</f>
        <v>0</v>
      </c>
      <c r="O93" s="13">
        <f>IF(AND(Sum!$F474="Yes",Sum!$G474="Cash",Sum!P$397=O$5),Sum!P474,0)</f>
        <v>0</v>
      </c>
      <c r="P93" s="13">
        <f>IF(AND(Sum!$F474="Yes",Sum!$G474="Cash",Sum!Q$397=P$5),Sum!Q474,0)</f>
        <v>0</v>
      </c>
      <c r="Q93" s="264" t="str">
        <f>IF(AND(Sum!$F474="Yes",Sum!$G474="Cash"),Sum!$E474,"")</f>
        <v/>
      </c>
    </row>
    <row r="94" spans="1:17" ht="12.75" customHeight="1" x14ac:dyDescent="0.25">
      <c r="A94" s="18"/>
      <c r="B94" s="13" t="str">
        <f>IF(AND(Sum!$F475="Yes",Sum!$G475="Cash"),Sum!$B475,"")</f>
        <v/>
      </c>
      <c r="C94" s="13"/>
      <c r="D94" s="13"/>
      <c r="E94" s="13"/>
      <c r="F94" s="13"/>
      <c r="G94" s="153">
        <f>IF(AND(Sum!$F475="Yes",Sum!$G475="Cash",Sum!H$397=G$5),Sum!H475,0)</f>
        <v>0</v>
      </c>
      <c r="H94" s="13">
        <f>IF(AND(Sum!$F475="Yes",Sum!$G475="Cash",Sum!I$397=H$5),Sum!I475,0)</f>
        <v>0</v>
      </c>
      <c r="I94" s="13">
        <f>IF(AND(Sum!$F475="Yes",Sum!$G475="Cash",Sum!J$397=I$5),Sum!J475,0)</f>
        <v>0</v>
      </c>
      <c r="J94" s="13">
        <f>IF(AND(Sum!$F475="Yes",Sum!$G475="Cash",Sum!K$397=J$5),Sum!K475,0)</f>
        <v>0</v>
      </c>
      <c r="K94" s="13">
        <f>IF(AND(Sum!$F475="Yes",Sum!$G475="Cash",Sum!L$397=K$5),Sum!L475,0)</f>
        <v>0</v>
      </c>
      <c r="L94" s="13">
        <f>IF(AND(Sum!$F475="Yes",Sum!$G475="Cash",Sum!M$397=L$5),Sum!M475,0)</f>
        <v>0</v>
      </c>
      <c r="M94" s="13">
        <f>IF(AND(Sum!$F475="Yes",Sum!$G475="Cash",Sum!N$397=M$5),Sum!N475,0)</f>
        <v>0</v>
      </c>
      <c r="N94" s="13">
        <f>IF(AND(Sum!$F475="Yes",Sum!$G475="Cash",Sum!O$397=N$5),Sum!O475,0)</f>
        <v>0</v>
      </c>
      <c r="O94" s="13">
        <f>IF(AND(Sum!$F475="Yes",Sum!$G475="Cash",Sum!P$397=O$5),Sum!P475,0)</f>
        <v>0</v>
      </c>
      <c r="P94" s="13">
        <f>IF(AND(Sum!$F475="Yes",Sum!$G475="Cash",Sum!Q$397=P$5),Sum!Q475,0)</f>
        <v>0</v>
      </c>
      <c r="Q94" s="264" t="str">
        <f>IF(AND(Sum!$F475="Yes",Sum!$G475="Cash"),Sum!$E475,"")</f>
        <v/>
      </c>
    </row>
    <row r="95" spans="1:17" ht="12.75" customHeight="1" x14ac:dyDescent="0.25">
      <c r="A95" s="18"/>
      <c r="B95" s="13" t="str">
        <f>IF(AND(Sum!$F476="Yes",Sum!$G476="Cash"),Sum!$B476,"")</f>
        <v/>
      </c>
      <c r="C95" s="13"/>
      <c r="D95" s="13"/>
      <c r="E95" s="13"/>
      <c r="F95" s="13"/>
      <c r="G95" s="153">
        <f>IF(AND(Sum!$F476="Yes",Sum!$G476="Cash",Sum!H$397=G$5),Sum!H476,0)</f>
        <v>0</v>
      </c>
      <c r="H95" s="13">
        <f>IF(AND(Sum!$F476="Yes",Sum!$G476="Cash",Sum!I$397=H$5),Sum!I476,0)</f>
        <v>0</v>
      </c>
      <c r="I95" s="13">
        <f>IF(AND(Sum!$F476="Yes",Sum!$G476="Cash",Sum!J$397=I$5),Sum!J476,0)</f>
        <v>0</v>
      </c>
      <c r="J95" s="13">
        <f>IF(AND(Sum!$F476="Yes",Sum!$G476="Cash",Sum!K$397=J$5),Sum!K476,0)</f>
        <v>0</v>
      </c>
      <c r="K95" s="13">
        <f>IF(AND(Sum!$F476="Yes",Sum!$G476="Cash",Sum!L$397=K$5),Sum!L476,0)</f>
        <v>0</v>
      </c>
      <c r="L95" s="13">
        <f>IF(AND(Sum!$F476="Yes",Sum!$G476="Cash",Sum!M$397=L$5),Sum!M476,0)</f>
        <v>0</v>
      </c>
      <c r="M95" s="13">
        <f>IF(AND(Sum!$F476="Yes",Sum!$G476="Cash",Sum!N$397=M$5),Sum!N476,0)</f>
        <v>0</v>
      </c>
      <c r="N95" s="13">
        <f>IF(AND(Sum!$F476="Yes",Sum!$G476="Cash",Sum!O$397=N$5),Sum!O476,0)</f>
        <v>0</v>
      </c>
      <c r="O95" s="13">
        <f>IF(AND(Sum!$F476="Yes",Sum!$G476="Cash",Sum!P$397=O$5),Sum!P476,0)</f>
        <v>0</v>
      </c>
      <c r="P95" s="13">
        <f>IF(AND(Sum!$F476="Yes",Sum!$G476="Cash",Sum!Q$397=P$5),Sum!Q476,0)</f>
        <v>0</v>
      </c>
      <c r="Q95" s="264" t="str">
        <f>IF(AND(Sum!$F476="Yes",Sum!$G476="Cash"),Sum!$E476,"")</f>
        <v/>
      </c>
    </row>
    <row r="96" spans="1:17" ht="12.75" customHeight="1" x14ac:dyDescent="0.25">
      <c r="A96" s="18"/>
      <c r="B96" s="13" t="str">
        <f>IF(AND(Sum!$F477="Yes",Sum!$G477="Cash"),Sum!$B477,"")</f>
        <v/>
      </c>
      <c r="C96" s="13"/>
      <c r="D96" s="13"/>
      <c r="E96" s="13"/>
      <c r="F96" s="13"/>
      <c r="G96" s="153">
        <f>IF(AND(Sum!$F477="Yes",Sum!$G477="Cash",Sum!H$397=G$5),Sum!H477,0)</f>
        <v>0</v>
      </c>
      <c r="H96" s="13">
        <f>IF(AND(Sum!$F477="Yes",Sum!$G477="Cash",Sum!I$397=H$5),Sum!I477,0)</f>
        <v>0</v>
      </c>
      <c r="I96" s="13">
        <f>IF(AND(Sum!$F477="Yes",Sum!$G477="Cash",Sum!J$397=I$5),Sum!J477,0)</f>
        <v>0</v>
      </c>
      <c r="J96" s="13">
        <f>IF(AND(Sum!$F477="Yes",Sum!$G477="Cash",Sum!K$397=J$5),Sum!K477,0)</f>
        <v>0</v>
      </c>
      <c r="K96" s="13">
        <f>IF(AND(Sum!$F477="Yes",Sum!$G477="Cash",Sum!L$397=K$5),Sum!L477,0)</f>
        <v>0</v>
      </c>
      <c r="L96" s="13">
        <f>IF(AND(Sum!$F477="Yes",Sum!$G477="Cash",Sum!M$397=L$5),Sum!M477,0)</f>
        <v>0</v>
      </c>
      <c r="M96" s="13">
        <f>IF(AND(Sum!$F477="Yes",Sum!$G477="Cash",Sum!N$397=M$5),Sum!N477,0)</f>
        <v>0</v>
      </c>
      <c r="N96" s="13">
        <f>IF(AND(Sum!$F477="Yes",Sum!$G477="Cash",Sum!O$397=N$5),Sum!O477,0)</f>
        <v>0</v>
      </c>
      <c r="O96" s="13">
        <f>IF(AND(Sum!$F477="Yes",Sum!$G477="Cash",Sum!P$397=O$5),Sum!P477,0)</f>
        <v>0</v>
      </c>
      <c r="P96" s="13">
        <f>IF(AND(Sum!$F477="Yes",Sum!$G477="Cash",Sum!Q$397=P$5),Sum!Q477,0)</f>
        <v>0</v>
      </c>
      <c r="Q96" s="264" t="str">
        <f>IF(AND(Sum!$F477="Yes",Sum!$G477="Cash"),Sum!$E477,"")</f>
        <v/>
      </c>
    </row>
    <row r="97" spans="1:17" ht="12.75" customHeight="1" x14ac:dyDescent="0.25">
      <c r="A97" s="18"/>
      <c r="B97" s="13" t="str">
        <f>IF(AND(Sum!$F478="Yes",Sum!$G478="Cash"),Sum!$B478,"")</f>
        <v/>
      </c>
      <c r="C97" s="13"/>
      <c r="D97" s="13"/>
      <c r="E97" s="13"/>
      <c r="F97" s="13"/>
      <c r="G97" s="153">
        <f>IF(AND(Sum!$F478="Yes",Sum!$G478="Cash",Sum!H$397=G$5),Sum!H478,0)</f>
        <v>0</v>
      </c>
      <c r="H97" s="13">
        <f>IF(AND(Sum!$F478="Yes",Sum!$G478="Cash",Sum!I$397=H$5),Sum!I478,0)</f>
        <v>0</v>
      </c>
      <c r="I97" s="13">
        <f>IF(AND(Sum!$F478="Yes",Sum!$G478="Cash",Sum!J$397=I$5),Sum!J478,0)</f>
        <v>0</v>
      </c>
      <c r="J97" s="13">
        <f>IF(AND(Sum!$F478="Yes",Sum!$G478="Cash",Sum!K$397=J$5),Sum!K478,0)</f>
        <v>0</v>
      </c>
      <c r="K97" s="13">
        <f>IF(AND(Sum!$F478="Yes",Sum!$G478="Cash",Sum!L$397=K$5),Sum!L478,0)</f>
        <v>0</v>
      </c>
      <c r="L97" s="13">
        <f>IF(AND(Sum!$F478="Yes",Sum!$G478="Cash",Sum!M$397=L$5),Sum!M478,0)</f>
        <v>0</v>
      </c>
      <c r="M97" s="13">
        <f>IF(AND(Sum!$F478="Yes",Sum!$G478="Cash",Sum!N$397=M$5),Sum!N478,0)</f>
        <v>0</v>
      </c>
      <c r="N97" s="13">
        <f>IF(AND(Sum!$F478="Yes",Sum!$G478="Cash",Sum!O$397=N$5),Sum!O478,0)</f>
        <v>0</v>
      </c>
      <c r="O97" s="13">
        <f>IF(AND(Sum!$F478="Yes",Sum!$G478="Cash",Sum!P$397=O$5),Sum!P478,0)</f>
        <v>0</v>
      </c>
      <c r="P97" s="13">
        <f>IF(AND(Sum!$F478="Yes",Sum!$G478="Cash",Sum!Q$397=P$5),Sum!Q478,0)</f>
        <v>0</v>
      </c>
      <c r="Q97" s="264" t="str">
        <f>IF(AND(Sum!$F478="Yes",Sum!$G478="Cash"),Sum!$E478,"")</f>
        <v/>
      </c>
    </row>
    <row r="98" spans="1:17" ht="12.75" customHeight="1" x14ac:dyDescent="0.25">
      <c r="A98" s="18"/>
      <c r="B98" s="13" t="str">
        <f>IF(AND(Sum!$F479="Yes",Sum!$G479="Cash"),Sum!$B479,"")</f>
        <v/>
      </c>
      <c r="C98" s="13"/>
      <c r="D98" s="13"/>
      <c r="E98" s="13"/>
      <c r="F98" s="13"/>
      <c r="G98" s="153">
        <f>IF(AND(Sum!$F479="Yes",Sum!$G479="Cash",Sum!H$397=G$5),Sum!H479,0)</f>
        <v>0</v>
      </c>
      <c r="H98" s="13">
        <f>IF(AND(Sum!$F479="Yes",Sum!$G479="Cash",Sum!I$397=H$5),Sum!I479,0)</f>
        <v>0</v>
      </c>
      <c r="I98" s="13">
        <f>IF(AND(Sum!$F479="Yes",Sum!$G479="Cash",Sum!J$397=I$5),Sum!J479,0)</f>
        <v>0</v>
      </c>
      <c r="J98" s="13">
        <f>IF(AND(Sum!$F479="Yes",Sum!$G479="Cash",Sum!K$397=J$5),Sum!K479,0)</f>
        <v>0</v>
      </c>
      <c r="K98" s="13">
        <f>IF(AND(Sum!$F479="Yes",Sum!$G479="Cash",Sum!L$397=K$5),Sum!L479,0)</f>
        <v>0</v>
      </c>
      <c r="L98" s="13">
        <f>IF(AND(Sum!$F479="Yes",Sum!$G479="Cash",Sum!M$397=L$5),Sum!M479,0)</f>
        <v>0</v>
      </c>
      <c r="M98" s="13">
        <f>IF(AND(Sum!$F479="Yes",Sum!$G479="Cash",Sum!N$397=M$5),Sum!N479,0)</f>
        <v>0</v>
      </c>
      <c r="N98" s="13">
        <f>IF(AND(Sum!$F479="Yes",Sum!$G479="Cash",Sum!O$397=N$5),Sum!O479,0)</f>
        <v>0</v>
      </c>
      <c r="O98" s="13">
        <f>IF(AND(Sum!$F479="Yes",Sum!$G479="Cash",Sum!P$397=O$5),Sum!P479,0)</f>
        <v>0</v>
      </c>
      <c r="P98" s="13">
        <f>IF(AND(Sum!$F479="Yes",Sum!$G479="Cash",Sum!Q$397=P$5),Sum!Q479,0)</f>
        <v>0</v>
      </c>
      <c r="Q98" s="264" t="str">
        <f>IF(AND(Sum!$F479="Yes",Sum!$G479="Cash"),Sum!$E479,"")</f>
        <v/>
      </c>
    </row>
    <row r="99" spans="1:17" ht="12.75" customHeight="1" x14ac:dyDescent="0.25">
      <c r="A99" s="18"/>
      <c r="B99" s="13" t="str">
        <f>IF(AND(Sum!$F480="Yes",Sum!$G480="Cash"),Sum!$B480,"")</f>
        <v/>
      </c>
      <c r="C99" s="13"/>
      <c r="D99" s="13"/>
      <c r="E99" s="13"/>
      <c r="F99" s="13"/>
      <c r="G99" s="153">
        <f>IF(AND(Sum!$F480="Yes",Sum!$G480="Cash",Sum!H$397=G$5),Sum!H480,0)</f>
        <v>0</v>
      </c>
      <c r="H99" s="13">
        <f>IF(AND(Sum!$F480="Yes",Sum!$G480="Cash",Sum!I$397=H$5),Sum!I480,0)</f>
        <v>0</v>
      </c>
      <c r="I99" s="13">
        <f>IF(AND(Sum!$F480="Yes",Sum!$G480="Cash",Sum!J$397=I$5),Sum!J480,0)</f>
        <v>0</v>
      </c>
      <c r="J99" s="13">
        <f>IF(AND(Sum!$F480="Yes",Sum!$G480="Cash",Sum!K$397=J$5),Sum!K480,0)</f>
        <v>0</v>
      </c>
      <c r="K99" s="13">
        <f>IF(AND(Sum!$F480="Yes",Sum!$G480="Cash",Sum!L$397=K$5),Sum!L480,0)</f>
        <v>0</v>
      </c>
      <c r="L99" s="13">
        <f>IF(AND(Sum!$F480="Yes",Sum!$G480="Cash",Sum!M$397=L$5),Sum!M480,0)</f>
        <v>0</v>
      </c>
      <c r="M99" s="13">
        <f>IF(AND(Sum!$F480="Yes",Sum!$G480="Cash",Sum!N$397=M$5),Sum!N480,0)</f>
        <v>0</v>
      </c>
      <c r="N99" s="13">
        <f>IF(AND(Sum!$F480="Yes",Sum!$G480="Cash",Sum!O$397=N$5),Sum!O480,0)</f>
        <v>0</v>
      </c>
      <c r="O99" s="13">
        <f>IF(AND(Sum!$F480="Yes",Sum!$G480="Cash",Sum!P$397=O$5),Sum!P480,0)</f>
        <v>0</v>
      </c>
      <c r="P99" s="13">
        <f>IF(AND(Sum!$F480="Yes",Sum!$G480="Cash",Sum!Q$397=P$5),Sum!Q480,0)</f>
        <v>0</v>
      </c>
      <c r="Q99" s="264" t="str">
        <f>IF(AND(Sum!$F480="Yes",Sum!$G480="Cash"),Sum!$E480,"")</f>
        <v/>
      </c>
    </row>
    <row r="100" spans="1:17" ht="12.75" customHeight="1" x14ac:dyDescent="0.25">
      <c r="A100" s="18"/>
      <c r="B100" s="13" t="str">
        <f>IF(AND(Sum!$F481="Yes",Sum!$G481="Cash"),Sum!$B481,"")</f>
        <v/>
      </c>
      <c r="C100" s="13"/>
      <c r="D100" s="13"/>
      <c r="E100" s="13"/>
      <c r="F100" s="13"/>
      <c r="G100" s="153">
        <f>IF(AND(Sum!$F481="Yes",Sum!$G481="Cash",Sum!H$397=G$5),Sum!H481,0)</f>
        <v>0</v>
      </c>
      <c r="H100" s="13">
        <f>IF(AND(Sum!$F481="Yes",Sum!$G481="Cash",Sum!I$397=H$5),Sum!I481,0)</f>
        <v>0</v>
      </c>
      <c r="I100" s="13">
        <f>IF(AND(Sum!$F481="Yes",Sum!$G481="Cash",Sum!J$397=I$5),Sum!J481,0)</f>
        <v>0</v>
      </c>
      <c r="J100" s="13">
        <f>IF(AND(Sum!$F481="Yes",Sum!$G481="Cash",Sum!K$397=J$5),Sum!K481,0)</f>
        <v>0</v>
      </c>
      <c r="K100" s="13">
        <f>IF(AND(Sum!$F481="Yes",Sum!$G481="Cash",Sum!L$397=K$5),Sum!L481,0)</f>
        <v>0</v>
      </c>
      <c r="L100" s="13">
        <f>IF(AND(Sum!$F481="Yes",Sum!$G481="Cash",Sum!M$397=L$5),Sum!M481,0)</f>
        <v>0</v>
      </c>
      <c r="M100" s="13">
        <f>IF(AND(Sum!$F481="Yes",Sum!$G481="Cash",Sum!N$397=M$5),Sum!N481,0)</f>
        <v>0</v>
      </c>
      <c r="N100" s="13">
        <f>IF(AND(Sum!$F481="Yes",Sum!$G481="Cash",Sum!O$397=N$5),Sum!O481,0)</f>
        <v>0</v>
      </c>
      <c r="O100" s="13">
        <f>IF(AND(Sum!$F481="Yes",Sum!$G481="Cash",Sum!P$397=O$5),Sum!P481,0)</f>
        <v>0</v>
      </c>
      <c r="P100" s="13">
        <f>IF(AND(Sum!$F481="Yes",Sum!$G481="Cash",Sum!Q$397=P$5),Sum!Q481,0)</f>
        <v>0</v>
      </c>
      <c r="Q100" s="264" t="str">
        <f>IF(AND(Sum!$F481="Yes",Sum!$G481="Cash"),Sum!$E481,"")</f>
        <v/>
      </c>
    </row>
    <row r="101" spans="1:17" ht="12.75" customHeight="1" x14ac:dyDescent="0.25">
      <c r="A101" s="18"/>
      <c r="B101" s="13" t="str">
        <f>IF(AND(Sum!$F482="Yes",Sum!$G482="Cash"),Sum!$B482,"")</f>
        <v/>
      </c>
      <c r="C101" s="13"/>
      <c r="D101" s="13"/>
      <c r="E101" s="13"/>
      <c r="F101" s="13"/>
      <c r="G101" s="153">
        <f>IF(AND(Sum!$F482="Yes",Sum!$G482="Cash",Sum!H$397=G$5),Sum!H482,0)</f>
        <v>0</v>
      </c>
      <c r="H101" s="13">
        <f>IF(AND(Sum!$F482="Yes",Sum!$G482="Cash",Sum!I$397=H$5),Sum!I482,0)</f>
        <v>0</v>
      </c>
      <c r="I101" s="13">
        <f>IF(AND(Sum!$F482="Yes",Sum!$G482="Cash",Sum!J$397=I$5),Sum!J482,0)</f>
        <v>0</v>
      </c>
      <c r="J101" s="13">
        <f>IF(AND(Sum!$F482="Yes",Sum!$G482="Cash",Sum!K$397=J$5),Sum!K482,0)</f>
        <v>0</v>
      </c>
      <c r="K101" s="13">
        <f>IF(AND(Sum!$F482="Yes",Sum!$G482="Cash",Sum!L$397=K$5),Sum!L482,0)</f>
        <v>0</v>
      </c>
      <c r="L101" s="13">
        <f>IF(AND(Sum!$F482="Yes",Sum!$G482="Cash",Sum!M$397=L$5),Sum!M482,0)</f>
        <v>0</v>
      </c>
      <c r="M101" s="13">
        <f>IF(AND(Sum!$F482="Yes",Sum!$G482="Cash",Sum!N$397=M$5),Sum!N482,0)</f>
        <v>0</v>
      </c>
      <c r="N101" s="13">
        <f>IF(AND(Sum!$F482="Yes",Sum!$G482="Cash",Sum!O$397=N$5),Sum!O482,0)</f>
        <v>0</v>
      </c>
      <c r="O101" s="13">
        <f>IF(AND(Sum!$F482="Yes",Sum!$G482="Cash",Sum!P$397=O$5),Sum!P482,0)</f>
        <v>0</v>
      </c>
      <c r="P101" s="13">
        <f>IF(AND(Sum!$F482="Yes",Sum!$G482="Cash",Sum!Q$397=P$5),Sum!Q482,0)</f>
        <v>0</v>
      </c>
      <c r="Q101" s="264" t="str">
        <f>IF(AND(Sum!$F482="Yes",Sum!$G482="Cash"),Sum!$E482,"")</f>
        <v/>
      </c>
    </row>
    <row r="102" spans="1:17" ht="12.75" customHeight="1" x14ac:dyDescent="0.25">
      <c r="A102" s="18"/>
      <c r="B102" s="13" t="str">
        <f>IF(AND(Sum!$F483="Yes",Sum!$G483="Cash"),Sum!$B483,"")</f>
        <v/>
      </c>
      <c r="C102" s="13"/>
      <c r="D102" s="13"/>
      <c r="E102" s="13"/>
      <c r="F102" s="13"/>
      <c r="G102" s="153">
        <f>IF(AND(Sum!$F483="Yes",Sum!$G483="Cash",Sum!H$397=G$5),Sum!H483,0)</f>
        <v>0</v>
      </c>
      <c r="H102" s="13">
        <f>IF(AND(Sum!$F483="Yes",Sum!$G483="Cash",Sum!I$397=H$5),Sum!I483,0)</f>
        <v>0</v>
      </c>
      <c r="I102" s="13">
        <f>IF(AND(Sum!$F483="Yes",Sum!$G483="Cash",Sum!J$397=I$5),Sum!J483,0)</f>
        <v>0</v>
      </c>
      <c r="J102" s="13">
        <f>IF(AND(Sum!$F483="Yes",Sum!$G483="Cash",Sum!K$397=J$5),Sum!K483,0)</f>
        <v>0</v>
      </c>
      <c r="K102" s="13">
        <f>IF(AND(Sum!$F483="Yes",Sum!$G483="Cash",Sum!L$397=K$5),Sum!L483,0)</f>
        <v>0</v>
      </c>
      <c r="L102" s="13">
        <f>IF(AND(Sum!$F483="Yes",Sum!$G483="Cash",Sum!M$397=L$5),Sum!M483,0)</f>
        <v>0</v>
      </c>
      <c r="M102" s="13">
        <f>IF(AND(Sum!$F483="Yes",Sum!$G483="Cash",Sum!N$397=M$5),Sum!N483,0)</f>
        <v>0</v>
      </c>
      <c r="N102" s="13">
        <f>IF(AND(Sum!$F483="Yes",Sum!$G483="Cash",Sum!O$397=N$5),Sum!O483,0)</f>
        <v>0</v>
      </c>
      <c r="O102" s="13">
        <f>IF(AND(Sum!$F483="Yes",Sum!$G483="Cash",Sum!P$397=O$5),Sum!P483,0)</f>
        <v>0</v>
      </c>
      <c r="P102" s="13">
        <f>IF(AND(Sum!$F483="Yes",Sum!$G483="Cash",Sum!Q$397=P$5),Sum!Q483,0)</f>
        <v>0</v>
      </c>
      <c r="Q102" s="264" t="str">
        <f>IF(AND(Sum!$F483="Yes",Sum!$G483="Cash"),Sum!$E483,"")</f>
        <v/>
      </c>
    </row>
    <row r="103" spans="1:17" ht="12.75" customHeight="1" x14ac:dyDescent="0.25">
      <c r="A103" s="18"/>
      <c r="B103" s="13" t="str">
        <f>IF(AND(Sum!$F484="Yes",Sum!$G484="Cash"),Sum!$B484,"")</f>
        <v/>
      </c>
      <c r="C103" s="13"/>
      <c r="D103" s="13"/>
      <c r="E103" s="13"/>
      <c r="F103" s="13"/>
      <c r="G103" s="153">
        <f>IF(AND(Sum!$F484="Yes",Sum!$G484="Cash",Sum!H$397=G$5),Sum!H484,0)</f>
        <v>0</v>
      </c>
      <c r="H103" s="13">
        <f>IF(AND(Sum!$F484="Yes",Sum!$G484="Cash",Sum!I$397=H$5),Sum!I484,0)</f>
        <v>0</v>
      </c>
      <c r="I103" s="13">
        <f>IF(AND(Sum!$F484="Yes",Sum!$G484="Cash",Sum!J$397=I$5),Sum!J484,0)</f>
        <v>0</v>
      </c>
      <c r="J103" s="13">
        <f>IF(AND(Sum!$F484="Yes",Sum!$G484="Cash",Sum!K$397=J$5),Sum!K484,0)</f>
        <v>0</v>
      </c>
      <c r="K103" s="13">
        <f>IF(AND(Sum!$F484="Yes",Sum!$G484="Cash",Sum!L$397=K$5),Sum!L484,0)</f>
        <v>0</v>
      </c>
      <c r="L103" s="13">
        <f>IF(AND(Sum!$F484="Yes",Sum!$G484="Cash",Sum!M$397=L$5),Sum!M484,0)</f>
        <v>0</v>
      </c>
      <c r="M103" s="13">
        <f>IF(AND(Sum!$F484="Yes",Sum!$G484="Cash",Sum!N$397=M$5),Sum!N484,0)</f>
        <v>0</v>
      </c>
      <c r="N103" s="13">
        <f>IF(AND(Sum!$F484="Yes",Sum!$G484="Cash",Sum!O$397=N$5),Sum!O484,0)</f>
        <v>0</v>
      </c>
      <c r="O103" s="13">
        <f>IF(AND(Sum!$F484="Yes",Sum!$G484="Cash",Sum!P$397=O$5),Sum!P484,0)</f>
        <v>0</v>
      </c>
      <c r="P103" s="13">
        <f>IF(AND(Sum!$F484="Yes",Sum!$G484="Cash",Sum!Q$397=P$5),Sum!Q484,0)</f>
        <v>0</v>
      </c>
      <c r="Q103" s="264" t="str">
        <f>IF(AND(Sum!$F484="Yes",Sum!$G484="Cash"),Sum!$E484,"")</f>
        <v/>
      </c>
    </row>
    <row r="104" spans="1:17" ht="12.75" customHeight="1" x14ac:dyDescent="0.25">
      <c r="A104" s="18"/>
      <c r="B104" s="13" t="str">
        <f>IF(AND(Sum!$F485="Yes",Sum!$G485="Cash"),Sum!$B485,"")</f>
        <v/>
      </c>
      <c r="C104" s="13"/>
      <c r="D104" s="13"/>
      <c r="E104" s="13"/>
      <c r="F104" s="13"/>
      <c r="G104" s="153">
        <f>IF(AND(Sum!$F485="Yes",Sum!$G485="Cash",Sum!H$397=G$5),Sum!H485,0)</f>
        <v>0</v>
      </c>
      <c r="H104" s="13">
        <f>IF(AND(Sum!$F485="Yes",Sum!$G485="Cash",Sum!I$397=H$5),Sum!I485,0)</f>
        <v>0</v>
      </c>
      <c r="I104" s="13">
        <f>IF(AND(Sum!$F485="Yes",Sum!$G485="Cash",Sum!J$397=I$5),Sum!J485,0)</f>
        <v>0</v>
      </c>
      <c r="J104" s="13">
        <f>IF(AND(Sum!$F485="Yes",Sum!$G485="Cash",Sum!K$397=J$5),Sum!K485,0)</f>
        <v>0</v>
      </c>
      <c r="K104" s="13">
        <f>IF(AND(Sum!$F485="Yes",Sum!$G485="Cash",Sum!L$397=K$5),Sum!L485,0)</f>
        <v>0</v>
      </c>
      <c r="L104" s="13">
        <f>IF(AND(Sum!$F485="Yes",Sum!$G485="Cash",Sum!M$397=L$5),Sum!M485,0)</f>
        <v>0</v>
      </c>
      <c r="M104" s="13">
        <f>IF(AND(Sum!$F485="Yes",Sum!$G485="Cash",Sum!N$397=M$5),Sum!N485,0)</f>
        <v>0</v>
      </c>
      <c r="N104" s="13">
        <f>IF(AND(Sum!$F485="Yes",Sum!$G485="Cash",Sum!O$397=N$5),Sum!O485,0)</f>
        <v>0</v>
      </c>
      <c r="O104" s="13">
        <f>IF(AND(Sum!$F485="Yes",Sum!$G485="Cash",Sum!P$397=O$5),Sum!P485,0)</f>
        <v>0</v>
      </c>
      <c r="P104" s="13">
        <f>IF(AND(Sum!$F485="Yes",Sum!$G485="Cash",Sum!Q$397=P$5),Sum!Q485,0)</f>
        <v>0</v>
      </c>
      <c r="Q104" s="264" t="str">
        <f>IF(AND(Sum!$F485="Yes",Sum!$G485="Cash"),Sum!$E485,"")</f>
        <v/>
      </c>
    </row>
    <row r="105" spans="1:17" ht="12.75" customHeight="1" x14ac:dyDescent="0.25">
      <c r="A105" s="18"/>
      <c r="B105" s="13" t="str">
        <f>IF(AND(Sum!$F486="Yes",Sum!$G486="Cash"),Sum!$B486,"")</f>
        <v/>
      </c>
      <c r="C105" s="13"/>
      <c r="D105" s="13"/>
      <c r="E105" s="13"/>
      <c r="F105" s="13"/>
      <c r="G105" s="153">
        <f>IF(AND(Sum!$F486="Yes",Sum!$G486="Cash",Sum!H$397=G$5),Sum!H486,0)</f>
        <v>0</v>
      </c>
      <c r="H105" s="13">
        <f>IF(AND(Sum!$F486="Yes",Sum!$G486="Cash",Sum!I$397=H$5),Sum!I486,0)</f>
        <v>0</v>
      </c>
      <c r="I105" s="13">
        <f>IF(AND(Sum!$F486="Yes",Sum!$G486="Cash",Sum!J$397=I$5),Sum!J486,0)</f>
        <v>0</v>
      </c>
      <c r="J105" s="13">
        <f>IF(AND(Sum!$F486="Yes",Sum!$G486="Cash",Sum!K$397=J$5),Sum!K486,0)</f>
        <v>0</v>
      </c>
      <c r="K105" s="13">
        <f>IF(AND(Sum!$F486="Yes",Sum!$G486="Cash",Sum!L$397=K$5),Sum!L486,0)</f>
        <v>0</v>
      </c>
      <c r="L105" s="13">
        <f>IF(AND(Sum!$F486="Yes",Sum!$G486="Cash",Sum!M$397=L$5),Sum!M486,0)</f>
        <v>0</v>
      </c>
      <c r="M105" s="13">
        <f>IF(AND(Sum!$F486="Yes",Sum!$G486="Cash",Sum!N$397=M$5),Sum!N486,0)</f>
        <v>0</v>
      </c>
      <c r="N105" s="13">
        <f>IF(AND(Sum!$F486="Yes",Sum!$G486="Cash",Sum!O$397=N$5),Sum!O486,0)</f>
        <v>0</v>
      </c>
      <c r="O105" s="13">
        <f>IF(AND(Sum!$F486="Yes",Sum!$G486="Cash",Sum!P$397=O$5),Sum!P486,0)</f>
        <v>0</v>
      </c>
      <c r="P105" s="13">
        <f>IF(AND(Sum!$F486="Yes",Sum!$G486="Cash",Sum!Q$397=P$5),Sum!Q486,0)</f>
        <v>0</v>
      </c>
      <c r="Q105" s="264" t="str">
        <f>IF(AND(Sum!$F486="Yes",Sum!$G486="Cash"),Sum!$E486,"")</f>
        <v/>
      </c>
    </row>
    <row r="106" spans="1:17" ht="12.75" customHeight="1" x14ac:dyDescent="0.25">
      <c r="A106" s="18"/>
      <c r="B106" s="13" t="str">
        <f>IF(AND(Sum!$F487="Yes",Sum!$G487="Cash"),Sum!$B487,"")</f>
        <v/>
      </c>
      <c r="C106" s="13"/>
      <c r="D106" s="13"/>
      <c r="E106" s="13"/>
      <c r="F106" s="13"/>
      <c r="G106" s="153">
        <f>IF(AND(Sum!$F487="Yes",Sum!$G487="Cash",Sum!H$397=G$5),Sum!H487,0)</f>
        <v>0</v>
      </c>
      <c r="H106" s="13">
        <f>IF(AND(Sum!$F487="Yes",Sum!$G487="Cash",Sum!I$397=H$5),Sum!I487,0)</f>
        <v>0</v>
      </c>
      <c r="I106" s="13">
        <f>IF(AND(Sum!$F487="Yes",Sum!$G487="Cash",Sum!J$397=I$5),Sum!J487,0)</f>
        <v>0</v>
      </c>
      <c r="J106" s="13">
        <f>IF(AND(Sum!$F487="Yes",Sum!$G487="Cash",Sum!K$397=J$5),Sum!K487,0)</f>
        <v>0</v>
      </c>
      <c r="K106" s="13">
        <f>IF(AND(Sum!$F487="Yes",Sum!$G487="Cash",Sum!L$397=K$5),Sum!L487,0)</f>
        <v>0</v>
      </c>
      <c r="L106" s="13">
        <f>IF(AND(Sum!$F487="Yes",Sum!$G487="Cash",Sum!M$397=L$5),Sum!M487,0)</f>
        <v>0</v>
      </c>
      <c r="M106" s="13">
        <f>IF(AND(Sum!$F487="Yes",Sum!$G487="Cash",Sum!N$397=M$5),Sum!N487,0)</f>
        <v>0</v>
      </c>
      <c r="N106" s="13">
        <f>IF(AND(Sum!$F487="Yes",Sum!$G487="Cash",Sum!O$397=N$5),Sum!O487,0)</f>
        <v>0</v>
      </c>
      <c r="O106" s="13">
        <f>IF(AND(Sum!$F487="Yes",Sum!$G487="Cash",Sum!P$397=O$5),Sum!P487,0)</f>
        <v>0</v>
      </c>
      <c r="P106" s="13">
        <f>IF(AND(Sum!$F487="Yes",Sum!$G487="Cash",Sum!Q$397=P$5),Sum!Q487,0)</f>
        <v>0</v>
      </c>
      <c r="Q106" s="264" t="str">
        <f>IF(AND(Sum!$F487="Yes",Sum!$G487="Cash"),Sum!$E487,"")</f>
        <v/>
      </c>
    </row>
    <row r="107" spans="1:17" ht="12.75" customHeight="1" x14ac:dyDescent="0.25">
      <c r="A107" s="18"/>
      <c r="B107" s="13" t="str">
        <f>IF(AND(Sum!$F488="Yes",Sum!$G488="Cash"),Sum!$B488,"")</f>
        <v/>
      </c>
      <c r="C107" s="13"/>
      <c r="D107" s="13"/>
      <c r="E107" s="13"/>
      <c r="F107" s="13"/>
      <c r="G107" s="153">
        <f>IF(AND(Sum!$F488="Yes",Sum!$G488="Cash",Sum!H$397=G$5),Sum!H488,0)</f>
        <v>0</v>
      </c>
      <c r="H107" s="13">
        <f>IF(AND(Sum!$F488="Yes",Sum!$G488="Cash",Sum!I$397=H$5),Sum!I488,0)</f>
        <v>0</v>
      </c>
      <c r="I107" s="13">
        <f>IF(AND(Sum!$F488="Yes",Sum!$G488="Cash",Sum!J$397=I$5),Sum!J488,0)</f>
        <v>0</v>
      </c>
      <c r="J107" s="13">
        <f>IF(AND(Sum!$F488="Yes",Sum!$G488="Cash",Sum!K$397=J$5),Sum!K488,0)</f>
        <v>0</v>
      </c>
      <c r="K107" s="13">
        <f>IF(AND(Sum!$F488="Yes",Sum!$G488="Cash",Sum!L$397=K$5),Sum!L488,0)</f>
        <v>0</v>
      </c>
      <c r="L107" s="13">
        <f>IF(AND(Sum!$F488="Yes",Sum!$G488="Cash",Sum!M$397=L$5),Sum!M488,0)</f>
        <v>0</v>
      </c>
      <c r="M107" s="13">
        <f>IF(AND(Sum!$F488="Yes",Sum!$G488="Cash",Sum!N$397=M$5),Sum!N488,0)</f>
        <v>0</v>
      </c>
      <c r="N107" s="13">
        <f>IF(AND(Sum!$F488="Yes",Sum!$G488="Cash",Sum!O$397=N$5),Sum!O488,0)</f>
        <v>0</v>
      </c>
      <c r="O107" s="13">
        <f>IF(AND(Sum!$F488="Yes",Sum!$G488="Cash",Sum!P$397=O$5),Sum!P488,0)</f>
        <v>0</v>
      </c>
      <c r="P107" s="13">
        <f>IF(AND(Sum!$F488="Yes",Sum!$G488="Cash",Sum!Q$397=P$5),Sum!Q488,0)</f>
        <v>0</v>
      </c>
      <c r="Q107" s="264" t="str">
        <f>IF(AND(Sum!$F488="Yes",Sum!$G488="Cash"),Sum!$E488,"")</f>
        <v/>
      </c>
    </row>
    <row r="108" spans="1:17" ht="12.75" customHeight="1" x14ac:dyDescent="0.25">
      <c r="A108" s="18"/>
      <c r="B108" s="13" t="str">
        <f>IF(AND(Sum!$F489="Yes",Sum!$G489="Cash"),Sum!$B489,"")</f>
        <v/>
      </c>
      <c r="C108" s="13"/>
      <c r="D108" s="13"/>
      <c r="E108" s="13"/>
      <c r="F108" s="13"/>
      <c r="G108" s="153">
        <f>IF(AND(Sum!$F489="Yes",Sum!$G489="Cash",Sum!H$397=G$5),Sum!H489,0)</f>
        <v>0</v>
      </c>
      <c r="H108" s="13">
        <f>IF(AND(Sum!$F489="Yes",Sum!$G489="Cash",Sum!I$397=H$5),Sum!I489,0)</f>
        <v>0</v>
      </c>
      <c r="I108" s="13">
        <f>IF(AND(Sum!$F489="Yes",Sum!$G489="Cash",Sum!J$397=I$5),Sum!J489,0)</f>
        <v>0</v>
      </c>
      <c r="J108" s="13">
        <f>IF(AND(Sum!$F489="Yes",Sum!$G489="Cash",Sum!K$397=J$5),Sum!K489,0)</f>
        <v>0</v>
      </c>
      <c r="K108" s="13">
        <f>IF(AND(Sum!$F489="Yes",Sum!$G489="Cash",Sum!L$397=K$5),Sum!L489,0)</f>
        <v>0</v>
      </c>
      <c r="L108" s="13">
        <f>IF(AND(Sum!$F489="Yes",Sum!$G489="Cash",Sum!M$397=L$5),Sum!M489,0)</f>
        <v>0</v>
      </c>
      <c r="M108" s="13">
        <f>IF(AND(Sum!$F489="Yes",Sum!$G489="Cash",Sum!N$397=M$5),Sum!N489,0)</f>
        <v>0</v>
      </c>
      <c r="N108" s="13">
        <f>IF(AND(Sum!$F489="Yes",Sum!$G489="Cash",Sum!O$397=N$5),Sum!O489,0)</f>
        <v>0</v>
      </c>
      <c r="O108" s="13">
        <f>IF(AND(Sum!$F489="Yes",Sum!$G489="Cash",Sum!P$397=O$5),Sum!P489,0)</f>
        <v>0</v>
      </c>
      <c r="P108" s="13">
        <f>IF(AND(Sum!$F489="Yes",Sum!$G489="Cash",Sum!Q$397=P$5),Sum!Q489,0)</f>
        <v>0</v>
      </c>
      <c r="Q108" s="264" t="str">
        <f>IF(AND(Sum!$F489="Yes",Sum!$G489="Cash"),Sum!$E489,"")</f>
        <v/>
      </c>
    </row>
    <row r="109" spans="1:17" ht="12.75" customHeight="1" x14ac:dyDescent="0.25">
      <c r="A109" s="18"/>
      <c r="B109" s="13" t="str">
        <f>IF(AND(Sum!$F490="Yes",Sum!$G490="Cash"),Sum!$B490,"")</f>
        <v/>
      </c>
      <c r="C109" s="13"/>
      <c r="D109" s="13"/>
      <c r="E109" s="13"/>
      <c r="F109" s="13"/>
      <c r="G109" s="153">
        <f>IF(AND(Sum!$F490="Yes",Sum!$G490="Cash",Sum!H$397=G$5),Sum!H490,0)</f>
        <v>0</v>
      </c>
      <c r="H109" s="13">
        <f>IF(AND(Sum!$F490="Yes",Sum!$G490="Cash",Sum!I$397=H$5),Sum!I490,0)</f>
        <v>0</v>
      </c>
      <c r="I109" s="13">
        <f>IF(AND(Sum!$F490="Yes",Sum!$G490="Cash",Sum!J$397=I$5),Sum!J490,0)</f>
        <v>0</v>
      </c>
      <c r="J109" s="13">
        <f>IF(AND(Sum!$F490="Yes",Sum!$G490="Cash",Sum!K$397=J$5),Sum!K490,0)</f>
        <v>0</v>
      </c>
      <c r="K109" s="13">
        <f>IF(AND(Sum!$F490="Yes",Sum!$G490="Cash",Sum!L$397=K$5),Sum!L490,0)</f>
        <v>0</v>
      </c>
      <c r="L109" s="13">
        <f>IF(AND(Sum!$F490="Yes",Sum!$G490="Cash",Sum!M$397=L$5),Sum!M490,0)</f>
        <v>0</v>
      </c>
      <c r="M109" s="13">
        <f>IF(AND(Sum!$F490="Yes",Sum!$G490="Cash",Sum!N$397=M$5),Sum!N490,0)</f>
        <v>0</v>
      </c>
      <c r="N109" s="13">
        <f>IF(AND(Sum!$F490="Yes",Sum!$G490="Cash",Sum!O$397=N$5),Sum!O490,0)</f>
        <v>0</v>
      </c>
      <c r="O109" s="13">
        <f>IF(AND(Sum!$F490="Yes",Sum!$G490="Cash",Sum!P$397=O$5),Sum!P490,0)</f>
        <v>0</v>
      </c>
      <c r="P109" s="13">
        <f>IF(AND(Sum!$F490="Yes",Sum!$G490="Cash",Sum!Q$397=P$5),Sum!Q490,0)</f>
        <v>0</v>
      </c>
      <c r="Q109" s="264" t="str">
        <f>IF(AND(Sum!$F490="Yes",Sum!$G490="Cash"),Sum!$E490,"")</f>
        <v/>
      </c>
    </row>
    <row r="110" spans="1:17" ht="12.75" customHeight="1" x14ac:dyDescent="0.25">
      <c r="A110" s="18"/>
      <c r="B110" s="13" t="str">
        <f>IF(AND(Sum!$F491="Yes",Sum!$G491="Cash"),Sum!$B491,"")</f>
        <v/>
      </c>
      <c r="C110" s="13"/>
      <c r="D110" s="13"/>
      <c r="E110" s="13"/>
      <c r="F110" s="13"/>
      <c r="G110" s="153">
        <f>IF(AND(Sum!$F491="Yes",Sum!$G491="Cash",Sum!H$397=G$5),Sum!H491,0)</f>
        <v>0</v>
      </c>
      <c r="H110" s="13">
        <f>IF(AND(Sum!$F491="Yes",Sum!$G491="Cash",Sum!I$397=H$5),Sum!I491,0)</f>
        <v>0</v>
      </c>
      <c r="I110" s="13">
        <f>IF(AND(Sum!$F491="Yes",Sum!$G491="Cash",Sum!J$397=I$5),Sum!J491,0)</f>
        <v>0</v>
      </c>
      <c r="J110" s="13">
        <f>IF(AND(Sum!$F491="Yes",Sum!$G491="Cash",Sum!K$397=J$5),Sum!K491,0)</f>
        <v>0</v>
      </c>
      <c r="K110" s="13">
        <f>IF(AND(Sum!$F491="Yes",Sum!$G491="Cash",Sum!L$397=K$5),Sum!L491,0)</f>
        <v>0</v>
      </c>
      <c r="L110" s="13">
        <f>IF(AND(Sum!$F491="Yes",Sum!$G491="Cash",Sum!M$397=L$5),Sum!M491,0)</f>
        <v>0</v>
      </c>
      <c r="M110" s="13">
        <f>IF(AND(Sum!$F491="Yes",Sum!$G491="Cash",Sum!N$397=M$5),Sum!N491,0)</f>
        <v>0</v>
      </c>
      <c r="N110" s="13">
        <f>IF(AND(Sum!$F491="Yes",Sum!$G491="Cash",Sum!O$397=N$5),Sum!O491,0)</f>
        <v>0</v>
      </c>
      <c r="O110" s="13">
        <f>IF(AND(Sum!$F491="Yes",Sum!$G491="Cash",Sum!P$397=O$5),Sum!P491,0)</f>
        <v>0</v>
      </c>
      <c r="P110" s="13">
        <f>IF(AND(Sum!$F491="Yes",Sum!$G491="Cash",Sum!Q$397=P$5),Sum!Q491,0)</f>
        <v>0</v>
      </c>
      <c r="Q110" s="264" t="str">
        <f>IF(AND(Sum!$F491="Yes",Sum!$G491="Cash"),Sum!$E491,"")</f>
        <v/>
      </c>
    </row>
    <row r="111" spans="1:17" ht="12.75" customHeight="1" x14ac:dyDescent="0.25">
      <c r="A111" s="18"/>
      <c r="B111" s="13" t="str">
        <f>IF(AND(Sum!$F492="Yes",Sum!$G492="Cash"),Sum!$B492,"")</f>
        <v/>
      </c>
      <c r="C111" s="13"/>
      <c r="D111" s="13"/>
      <c r="E111" s="13"/>
      <c r="F111" s="13"/>
      <c r="G111" s="153">
        <f>IF(AND(Sum!$F492="Yes",Sum!$G492="Cash",Sum!H$397=G$5),Sum!H492,0)</f>
        <v>0</v>
      </c>
      <c r="H111" s="13">
        <f>IF(AND(Sum!$F492="Yes",Sum!$G492="Cash",Sum!I$397=H$5),Sum!I492,0)</f>
        <v>0</v>
      </c>
      <c r="I111" s="13">
        <f>IF(AND(Sum!$F492="Yes",Sum!$G492="Cash",Sum!J$397=I$5),Sum!J492,0)</f>
        <v>0</v>
      </c>
      <c r="J111" s="13">
        <f>IF(AND(Sum!$F492="Yes",Sum!$G492="Cash",Sum!K$397=J$5),Sum!K492,0)</f>
        <v>0</v>
      </c>
      <c r="K111" s="13">
        <f>IF(AND(Sum!$F492="Yes",Sum!$G492="Cash",Sum!L$397=K$5),Sum!L492,0)</f>
        <v>0</v>
      </c>
      <c r="L111" s="13">
        <f>IF(AND(Sum!$F492="Yes",Sum!$G492="Cash",Sum!M$397=L$5),Sum!M492,0)</f>
        <v>0</v>
      </c>
      <c r="M111" s="13">
        <f>IF(AND(Sum!$F492="Yes",Sum!$G492="Cash",Sum!N$397=M$5),Sum!N492,0)</f>
        <v>0</v>
      </c>
      <c r="N111" s="13">
        <f>IF(AND(Sum!$F492="Yes",Sum!$G492="Cash",Sum!O$397=N$5),Sum!O492,0)</f>
        <v>0</v>
      </c>
      <c r="O111" s="13">
        <f>IF(AND(Sum!$F492="Yes",Sum!$G492="Cash",Sum!P$397=O$5),Sum!P492,0)</f>
        <v>0</v>
      </c>
      <c r="P111" s="13">
        <f>IF(AND(Sum!$F492="Yes",Sum!$G492="Cash",Sum!Q$397=P$5),Sum!Q492,0)</f>
        <v>0</v>
      </c>
      <c r="Q111" s="264" t="str">
        <f>IF(AND(Sum!$F492="Yes",Sum!$G492="Cash"),Sum!$E492,"")</f>
        <v/>
      </c>
    </row>
    <row r="112" spans="1:17" ht="12.75" customHeight="1" x14ac:dyDescent="0.25">
      <c r="A112" s="18"/>
      <c r="B112" s="13" t="str">
        <f>IF(AND(Sum!$F493="Yes",Sum!$G493="Cash"),Sum!$B493,"")</f>
        <v/>
      </c>
      <c r="C112" s="13"/>
      <c r="D112" s="13"/>
      <c r="E112" s="13"/>
      <c r="F112" s="13"/>
      <c r="G112" s="153">
        <f>IF(AND(Sum!$F493="Yes",Sum!$G493="Cash",Sum!H$397=G$5),Sum!H493,0)</f>
        <v>0</v>
      </c>
      <c r="H112" s="13">
        <f>IF(AND(Sum!$F493="Yes",Sum!$G493="Cash",Sum!I$397=H$5),Sum!I493,0)</f>
        <v>0</v>
      </c>
      <c r="I112" s="13">
        <f>IF(AND(Sum!$F493="Yes",Sum!$G493="Cash",Sum!J$397=I$5),Sum!J493,0)</f>
        <v>0</v>
      </c>
      <c r="J112" s="13">
        <f>IF(AND(Sum!$F493="Yes",Sum!$G493="Cash",Sum!K$397=J$5),Sum!K493,0)</f>
        <v>0</v>
      </c>
      <c r="K112" s="13">
        <f>IF(AND(Sum!$F493="Yes",Sum!$G493="Cash",Sum!L$397=K$5),Sum!L493,0)</f>
        <v>0</v>
      </c>
      <c r="L112" s="13">
        <f>IF(AND(Sum!$F493="Yes",Sum!$G493="Cash",Sum!M$397=L$5),Sum!M493,0)</f>
        <v>0</v>
      </c>
      <c r="M112" s="13">
        <f>IF(AND(Sum!$F493="Yes",Sum!$G493="Cash",Sum!N$397=M$5),Sum!N493,0)</f>
        <v>0</v>
      </c>
      <c r="N112" s="13">
        <f>IF(AND(Sum!$F493="Yes",Sum!$G493="Cash",Sum!O$397=N$5),Sum!O493,0)</f>
        <v>0</v>
      </c>
      <c r="O112" s="13">
        <f>IF(AND(Sum!$F493="Yes",Sum!$G493="Cash",Sum!P$397=O$5),Sum!P493,0)</f>
        <v>0</v>
      </c>
      <c r="P112" s="13">
        <f>IF(AND(Sum!$F493="Yes",Sum!$G493="Cash",Sum!Q$397=P$5),Sum!Q493,0)</f>
        <v>0</v>
      </c>
      <c r="Q112" s="264" t="str">
        <f>IF(AND(Sum!$F493="Yes",Sum!$G493="Cash"),Sum!$E493,"")</f>
        <v/>
      </c>
    </row>
    <row r="113" spans="1:17" ht="12.75" customHeight="1" x14ac:dyDescent="0.25">
      <c r="A113" s="18"/>
      <c r="B113" s="13" t="str">
        <f>IF(AND(Sum!$F494="Yes",Sum!$G494="Cash"),Sum!$B494,"")</f>
        <v/>
      </c>
      <c r="C113" s="13"/>
      <c r="D113" s="13"/>
      <c r="E113" s="13"/>
      <c r="F113" s="13"/>
      <c r="G113" s="153">
        <f>IF(AND(Sum!$F494="Yes",Sum!$G494="Cash",Sum!H$397=G$5),Sum!H494,0)</f>
        <v>0</v>
      </c>
      <c r="H113" s="13">
        <f>IF(AND(Sum!$F494="Yes",Sum!$G494="Cash",Sum!I$397=H$5),Sum!I494,0)</f>
        <v>0</v>
      </c>
      <c r="I113" s="13">
        <f>IF(AND(Sum!$F494="Yes",Sum!$G494="Cash",Sum!J$397=I$5),Sum!J494,0)</f>
        <v>0</v>
      </c>
      <c r="J113" s="13">
        <f>IF(AND(Sum!$F494="Yes",Sum!$G494="Cash",Sum!K$397=J$5),Sum!K494,0)</f>
        <v>0</v>
      </c>
      <c r="K113" s="13">
        <f>IF(AND(Sum!$F494="Yes",Sum!$G494="Cash",Sum!L$397=K$5),Sum!L494,0)</f>
        <v>0</v>
      </c>
      <c r="L113" s="13">
        <f>IF(AND(Sum!$F494="Yes",Sum!$G494="Cash",Sum!M$397=L$5),Sum!M494,0)</f>
        <v>0</v>
      </c>
      <c r="M113" s="13">
        <f>IF(AND(Sum!$F494="Yes",Sum!$G494="Cash",Sum!N$397=M$5),Sum!N494,0)</f>
        <v>0</v>
      </c>
      <c r="N113" s="13">
        <f>IF(AND(Sum!$F494="Yes",Sum!$G494="Cash",Sum!O$397=N$5),Sum!O494,0)</f>
        <v>0</v>
      </c>
      <c r="O113" s="13">
        <f>IF(AND(Sum!$F494="Yes",Sum!$G494="Cash",Sum!P$397=O$5),Sum!P494,0)</f>
        <v>0</v>
      </c>
      <c r="P113" s="13">
        <f>IF(AND(Sum!$F494="Yes",Sum!$G494="Cash",Sum!Q$397=P$5),Sum!Q494,0)</f>
        <v>0</v>
      </c>
      <c r="Q113" s="264" t="str">
        <f>IF(AND(Sum!$F494="Yes",Sum!$G494="Cash"),Sum!$E494,"")</f>
        <v/>
      </c>
    </row>
    <row r="114" spans="1:17" ht="12.75" customHeight="1" x14ac:dyDescent="0.25">
      <c r="A114" s="18"/>
      <c r="B114" s="13" t="str">
        <f>IF(AND(Sum!$F495="Yes",Sum!$G495="Cash"),Sum!$B495,"")</f>
        <v/>
      </c>
      <c r="C114" s="13"/>
      <c r="D114" s="13"/>
      <c r="E114" s="13"/>
      <c r="F114" s="13"/>
      <c r="G114" s="153">
        <f>IF(AND(Sum!$F495="Yes",Sum!$G495="Cash",Sum!H$397=G$5),Sum!H495,0)</f>
        <v>0</v>
      </c>
      <c r="H114" s="13">
        <f>IF(AND(Sum!$F495="Yes",Sum!$G495="Cash",Sum!I$397=H$5),Sum!I495,0)</f>
        <v>0</v>
      </c>
      <c r="I114" s="13">
        <f>IF(AND(Sum!$F495="Yes",Sum!$G495="Cash",Sum!J$397=I$5),Sum!J495,0)</f>
        <v>0</v>
      </c>
      <c r="J114" s="13">
        <f>IF(AND(Sum!$F495="Yes",Sum!$G495="Cash",Sum!K$397=J$5),Sum!K495,0)</f>
        <v>0</v>
      </c>
      <c r="K114" s="13">
        <f>IF(AND(Sum!$F495="Yes",Sum!$G495="Cash",Sum!L$397=K$5),Sum!L495,0)</f>
        <v>0</v>
      </c>
      <c r="L114" s="13">
        <f>IF(AND(Sum!$F495="Yes",Sum!$G495="Cash",Sum!M$397=L$5),Sum!M495,0)</f>
        <v>0</v>
      </c>
      <c r="M114" s="13">
        <f>IF(AND(Sum!$F495="Yes",Sum!$G495="Cash",Sum!N$397=M$5),Sum!N495,0)</f>
        <v>0</v>
      </c>
      <c r="N114" s="13">
        <f>IF(AND(Sum!$F495="Yes",Sum!$G495="Cash",Sum!O$397=N$5),Sum!O495,0)</f>
        <v>0</v>
      </c>
      <c r="O114" s="13">
        <f>IF(AND(Sum!$F495="Yes",Sum!$G495="Cash",Sum!P$397=O$5),Sum!P495,0)</f>
        <v>0</v>
      </c>
      <c r="P114" s="13">
        <f>IF(AND(Sum!$F495="Yes",Sum!$G495="Cash",Sum!Q$397=P$5),Sum!Q495,0)</f>
        <v>0</v>
      </c>
      <c r="Q114" s="264" t="str">
        <f>IF(AND(Sum!$F495="Yes",Sum!$G495="Cash"),Sum!$E495,"")</f>
        <v/>
      </c>
    </row>
    <row r="115" spans="1:17" ht="12.75" customHeight="1" x14ac:dyDescent="0.25">
      <c r="A115" s="18"/>
      <c r="B115" s="13" t="str">
        <f>IF(AND(Sum!$F496="Yes",Sum!$G496="Cash"),Sum!$B496,"")</f>
        <v/>
      </c>
      <c r="C115" s="13"/>
      <c r="D115" s="13"/>
      <c r="E115" s="13"/>
      <c r="F115" s="13"/>
      <c r="G115" s="153">
        <f>IF(AND(Sum!$F496="Yes",Sum!$G496="Cash",Sum!H$397=G$5),Sum!H496,0)</f>
        <v>0</v>
      </c>
      <c r="H115" s="13">
        <f>IF(AND(Sum!$F496="Yes",Sum!$G496="Cash",Sum!I$397=H$5),Sum!I496,0)</f>
        <v>0</v>
      </c>
      <c r="I115" s="13">
        <f>IF(AND(Sum!$F496="Yes",Sum!$G496="Cash",Sum!J$397=I$5),Sum!J496,0)</f>
        <v>0</v>
      </c>
      <c r="J115" s="13">
        <f>IF(AND(Sum!$F496="Yes",Sum!$G496="Cash",Sum!K$397=J$5),Sum!K496,0)</f>
        <v>0</v>
      </c>
      <c r="K115" s="13">
        <f>IF(AND(Sum!$F496="Yes",Sum!$G496="Cash",Sum!L$397=K$5),Sum!L496,0)</f>
        <v>0</v>
      </c>
      <c r="L115" s="13">
        <f>IF(AND(Sum!$F496="Yes",Sum!$G496="Cash",Sum!M$397=L$5),Sum!M496,0)</f>
        <v>0</v>
      </c>
      <c r="M115" s="13">
        <f>IF(AND(Sum!$F496="Yes",Sum!$G496="Cash",Sum!N$397=M$5),Sum!N496,0)</f>
        <v>0</v>
      </c>
      <c r="N115" s="13">
        <f>IF(AND(Sum!$F496="Yes",Sum!$G496="Cash",Sum!O$397=N$5),Sum!O496,0)</f>
        <v>0</v>
      </c>
      <c r="O115" s="13">
        <f>IF(AND(Sum!$F496="Yes",Sum!$G496="Cash",Sum!P$397=O$5),Sum!P496,0)</f>
        <v>0</v>
      </c>
      <c r="P115" s="13">
        <f>IF(AND(Sum!$F496="Yes",Sum!$G496="Cash",Sum!Q$397=P$5),Sum!Q496,0)</f>
        <v>0</v>
      </c>
      <c r="Q115" s="264" t="str">
        <f>IF(AND(Sum!$F496="Yes",Sum!$G496="Cash"),Sum!$E496,"")</f>
        <v/>
      </c>
    </row>
    <row r="116" spans="1:17" ht="12.75" customHeight="1" x14ac:dyDescent="0.25">
      <c r="A116" s="18"/>
      <c r="B116" s="13" t="str">
        <f>IF(AND(Sum!$F497="Yes",Sum!$G497="Cash"),Sum!$B497,"")</f>
        <v/>
      </c>
      <c r="C116" s="13"/>
      <c r="D116" s="13"/>
      <c r="E116" s="13"/>
      <c r="F116" s="13"/>
      <c r="G116" s="153">
        <f>IF(AND(Sum!$F497="Yes",Sum!$G497="Cash",Sum!H$397=G$5),Sum!H497,0)</f>
        <v>0</v>
      </c>
      <c r="H116" s="13">
        <f>IF(AND(Sum!$F497="Yes",Sum!$G497="Cash",Sum!I$397=H$5),Sum!I497,0)</f>
        <v>0</v>
      </c>
      <c r="I116" s="13">
        <f>IF(AND(Sum!$F497="Yes",Sum!$G497="Cash",Sum!J$397=I$5),Sum!J497,0)</f>
        <v>0</v>
      </c>
      <c r="J116" s="13">
        <f>IF(AND(Sum!$F497="Yes",Sum!$G497="Cash",Sum!K$397=J$5),Sum!K497,0)</f>
        <v>0</v>
      </c>
      <c r="K116" s="13">
        <f>IF(AND(Sum!$F497="Yes",Sum!$G497="Cash",Sum!L$397=K$5),Sum!L497,0)</f>
        <v>0</v>
      </c>
      <c r="L116" s="13">
        <f>IF(AND(Sum!$F497="Yes",Sum!$G497="Cash",Sum!M$397=L$5),Sum!M497,0)</f>
        <v>0</v>
      </c>
      <c r="M116" s="13">
        <f>IF(AND(Sum!$F497="Yes",Sum!$G497="Cash",Sum!N$397=M$5),Sum!N497,0)</f>
        <v>0</v>
      </c>
      <c r="N116" s="13">
        <f>IF(AND(Sum!$F497="Yes",Sum!$G497="Cash",Sum!O$397=N$5),Sum!O497,0)</f>
        <v>0</v>
      </c>
      <c r="O116" s="13">
        <f>IF(AND(Sum!$F497="Yes",Sum!$G497="Cash",Sum!P$397=O$5),Sum!P497,0)</f>
        <v>0</v>
      </c>
      <c r="P116" s="13">
        <f>IF(AND(Sum!$F497="Yes",Sum!$G497="Cash",Sum!Q$397=P$5),Sum!Q497,0)</f>
        <v>0</v>
      </c>
      <c r="Q116" s="264" t="str">
        <f>IF(AND(Sum!$F497="Yes",Sum!$G497="Cash"),Sum!$E497,"")</f>
        <v/>
      </c>
    </row>
    <row r="117" spans="1:17" ht="12.75" customHeight="1" x14ac:dyDescent="0.25">
      <c r="A117" s="18"/>
      <c r="B117" s="13" t="str">
        <f>IF(AND(Sum!$F498="Yes",Sum!$G498="Cash"),Sum!$B498,"")</f>
        <v/>
      </c>
      <c r="C117" s="13"/>
      <c r="D117" s="13"/>
      <c r="E117" s="13"/>
      <c r="F117" s="13"/>
      <c r="G117" s="153">
        <f>IF(AND(Sum!$F498="Yes",Sum!$G498="Cash",Sum!H$397=G$5),Sum!H498,0)</f>
        <v>0</v>
      </c>
      <c r="H117" s="13">
        <f>IF(AND(Sum!$F498="Yes",Sum!$G498="Cash",Sum!I$397=H$5),Sum!I498,0)</f>
        <v>0</v>
      </c>
      <c r="I117" s="13">
        <f>IF(AND(Sum!$F498="Yes",Sum!$G498="Cash",Sum!J$397=I$5),Sum!J498,0)</f>
        <v>0</v>
      </c>
      <c r="J117" s="13">
        <f>IF(AND(Sum!$F498="Yes",Sum!$G498="Cash",Sum!K$397=J$5),Sum!K498,0)</f>
        <v>0</v>
      </c>
      <c r="K117" s="13">
        <f>IF(AND(Sum!$F498="Yes",Sum!$G498="Cash",Sum!L$397=K$5),Sum!L498,0)</f>
        <v>0</v>
      </c>
      <c r="L117" s="13">
        <f>IF(AND(Sum!$F498="Yes",Sum!$G498="Cash",Sum!M$397=L$5),Sum!M498,0)</f>
        <v>0</v>
      </c>
      <c r="M117" s="13">
        <f>IF(AND(Sum!$F498="Yes",Sum!$G498="Cash",Sum!N$397=M$5),Sum!N498,0)</f>
        <v>0</v>
      </c>
      <c r="N117" s="13">
        <f>IF(AND(Sum!$F498="Yes",Sum!$G498="Cash",Sum!O$397=N$5),Sum!O498,0)</f>
        <v>0</v>
      </c>
      <c r="O117" s="13">
        <f>IF(AND(Sum!$F498="Yes",Sum!$G498="Cash",Sum!P$397=O$5),Sum!P498,0)</f>
        <v>0</v>
      </c>
      <c r="P117" s="13">
        <f>IF(AND(Sum!$F498="Yes",Sum!$G498="Cash",Sum!Q$397=P$5),Sum!Q498,0)</f>
        <v>0</v>
      </c>
      <c r="Q117" s="264" t="str">
        <f>IF(AND(Sum!$F498="Yes",Sum!$G498="Cash"),Sum!$E498,"")</f>
        <v/>
      </c>
    </row>
    <row r="118" spans="1:17" ht="12.75" customHeight="1" x14ac:dyDescent="0.25">
      <c r="A118" s="18"/>
      <c r="B118" s="13" t="str">
        <f>IF(AND(Sum!$F499="Yes",Sum!$G499="Cash"),Sum!$B499,"")</f>
        <v/>
      </c>
      <c r="C118" s="13"/>
      <c r="D118" s="13"/>
      <c r="E118" s="13"/>
      <c r="F118" s="13"/>
      <c r="G118" s="153">
        <f>IF(AND(Sum!$F499="Yes",Sum!$G499="Cash",Sum!H$397=G$5),Sum!H499,0)</f>
        <v>0</v>
      </c>
      <c r="H118" s="13">
        <f>IF(AND(Sum!$F499="Yes",Sum!$G499="Cash",Sum!I$397=H$5),Sum!I499,0)</f>
        <v>0</v>
      </c>
      <c r="I118" s="13">
        <f>IF(AND(Sum!$F499="Yes",Sum!$G499="Cash",Sum!J$397=I$5),Sum!J499,0)</f>
        <v>0</v>
      </c>
      <c r="J118" s="13">
        <f>IF(AND(Sum!$F499="Yes",Sum!$G499="Cash",Sum!K$397=J$5),Sum!K499,0)</f>
        <v>0</v>
      </c>
      <c r="K118" s="13">
        <f>IF(AND(Sum!$F499="Yes",Sum!$G499="Cash",Sum!L$397=K$5),Sum!L499,0)</f>
        <v>0</v>
      </c>
      <c r="L118" s="13">
        <f>IF(AND(Sum!$F499="Yes",Sum!$G499="Cash",Sum!M$397=L$5),Sum!M499,0)</f>
        <v>0</v>
      </c>
      <c r="M118" s="13">
        <f>IF(AND(Sum!$F499="Yes",Sum!$G499="Cash",Sum!N$397=M$5),Sum!N499,0)</f>
        <v>0</v>
      </c>
      <c r="N118" s="13">
        <f>IF(AND(Sum!$F499="Yes",Sum!$G499="Cash",Sum!O$397=N$5),Sum!O499,0)</f>
        <v>0</v>
      </c>
      <c r="O118" s="13">
        <f>IF(AND(Sum!$F499="Yes",Sum!$G499="Cash",Sum!P$397=O$5),Sum!P499,0)</f>
        <v>0</v>
      </c>
      <c r="P118" s="13">
        <f>IF(AND(Sum!$F499="Yes",Sum!$G499="Cash",Sum!Q$397=P$5),Sum!Q499,0)</f>
        <v>0</v>
      </c>
      <c r="Q118" s="264" t="str">
        <f>IF(AND(Sum!$F499="Yes",Sum!$G499="Cash"),Sum!$E499,"")</f>
        <v/>
      </c>
    </row>
    <row r="119" spans="1:17" ht="12.75" customHeight="1" x14ac:dyDescent="0.25">
      <c r="A119" s="18"/>
      <c r="B119" s="13" t="str">
        <f>IF(AND(Sum!$F500="Yes",Sum!$G500="Cash"),Sum!$B500,"")</f>
        <v/>
      </c>
      <c r="C119" s="13"/>
      <c r="D119" s="13"/>
      <c r="E119" s="13"/>
      <c r="F119" s="13"/>
      <c r="G119" s="153">
        <f>IF(AND(Sum!$F500="Yes",Sum!$G500="Cash",Sum!H$397=G$5),Sum!H500,0)</f>
        <v>0</v>
      </c>
      <c r="H119" s="13">
        <f>IF(AND(Sum!$F500="Yes",Sum!$G500="Cash",Sum!I$397=H$5),Sum!I500,0)</f>
        <v>0</v>
      </c>
      <c r="I119" s="13">
        <f>IF(AND(Sum!$F500="Yes",Sum!$G500="Cash",Sum!J$397=I$5),Sum!J500,0)</f>
        <v>0</v>
      </c>
      <c r="J119" s="13">
        <f>IF(AND(Sum!$F500="Yes",Sum!$G500="Cash",Sum!K$397=J$5),Sum!K500,0)</f>
        <v>0</v>
      </c>
      <c r="K119" s="13">
        <f>IF(AND(Sum!$F500="Yes",Sum!$G500="Cash",Sum!L$397=K$5),Sum!L500,0)</f>
        <v>0</v>
      </c>
      <c r="L119" s="13">
        <f>IF(AND(Sum!$F500="Yes",Sum!$G500="Cash",Sum!M$397=L$5),Sum!M500,0)</f>
        <v>0</v>
      </c>
      <c r="M119" s="13">
        <f>IF(AND(Sum!$F500="Yes",Sum!$G500="Cash",Sum!N$397=M$5),Sum!N500,0)</f>
        <v>0</v>
      </c>
      <c r="N119" s="13">
        <f>IF(AND(Sum!$F500="Yes",Sum!$G500="Cash",Sum!O$397=N$5),Sum!O500,0)</f>
        <v>0</v>
      </c>
      <c r="O119" s="13">
        <f>IF(AND(Sum!$F500="Yes",Sum!$G500="Cash",Sum!P$397=O$5),Sum!P500,0)</f>
        <v>0</v>
      </c>
      <c r="P119" s="13">
        <f>IF(AND(Sum!$F500="Yes",Sum!$G500="Cash",Sum!Q$397=P$5),Sum!Q500,0)</f>
        <v>0</v>
      </c>
      <c r="Q119" s="264" t="str">
        <f>IF(AND(Sum!$F500="Yes",Sum!$G500="Cash"),Sum!$E500,"")</f>
        <v/>
      </c>
    </row>
    <row r="120" spans="1:17" ht="12.75" customHeight="1" x14ac:dyDescent="0.25">
      <c r="A120" s="18"/>
      <c r="B120" s="13" t="str">
        <f>IF(AND(Sum!$F501="Yes",Sum!$G501="Cash"),Sum!$B501,"")</f>
        <v/>
      </c>
      <c r="C120" s="13"/>
      <c r="D120" s="13"/>
      <c r="E120" s="13"/>
      <c r="F120" s="13"/>
      <c r="G120" s="153">
        <f>IF(AND(Sum!$F501="Yes",Sum!$G501="Cash",Sum!H$397=G$5),Sum!H501,0)</f>
        <v>0</v>
      </c>
      <c r="H120" s="13">
        <f>IF(AND(Sum!$F501="Yes",Sum!$G501="Cash",Sum!I$397=H$5),Sum!I501,0)</f>
        <v>0</v>
      </c>
      <c r="I120" s="13">
        <f>IF(AND(Sum!$F501="Yes",Sum!$G501="Cash",Sum!J$397=I$5),Sum!J501,0)</f>
        <v>0</v>
      </c>
      <c r="J120" s="13">
        <f>IF(AND(Sum!$F501="Yes",Sum!$G501="Cash",Sum!K$397=J$5),Sum!K501,0)</f>
        <v>0</v>
      </c>
      <c r="K120" s="13">
        <f>IF(AND(Sum!$F501="Yes",Sum!$G501="Cash",Sum!L$397=K$5),Sum!L501,0)</f>
        <v>0</v>
      </c>
      <c r="L120" s="13">
        <f>IF(AND(Sum!$F501="Yes",Sum!$G501="Cash",Sum!M$397=L$5),Sum!M501,0)</f>
        <v>0</v>
      </c>
      <c r="M120" s="13">
        <f>IF(AND(Sum!$F501="Yes",Sum!$G501="Cash",Sum!N$397=M$5),Sum!N501,0)</f>
        <v>0</v>
      </c>
      <c r="N120" s="13">
        <f>IF(AND(Sum!$F501="Yes",Sum!$G501="Cash",Sum!O$397=N$5),Sum!O501,0)</f>
        <v>0</v>
      </c>
      <c r="O120" s="13">
        <f>IF(AND(Sum!$F501="Yes",Sum!$G501="Cash",Sum!P$397=O$5),Sum!P501,0)</f>
        <v>0</v>
      </c>
      <c r="P120" s="13">
        <f>IF(AND(Sum!$F501="Yes",Sum!$G501="Cash",Sum!Q$397=P$5),Sum!Q501,0)</f>
        <v>0</v>
      </c>
      <c r="Q120" s="264" t="str">
        <f>IF(AND(Sum!$F501="Yes",Sum!$G501="Cash"),Sum!$E501,"")</f>
        <v/>
      </c>
    </row>
    <row r="121" spans="1:17" ht="12.75" customHeight="1" x14ac:dyDescent="0.25">
      <c r="A121" s="18"/>
      <c r="B121" s="13" t="str">
        <f>IF(AND(Sum!$F502="Yes",Sum!$G502="Cash"),Sum!$B502,"")</f>
        <v/>
      </c>
      <c r="C121" s="13"/>
      <c r="D121" s="13"/>
      <c r="E121" s="13"/>
      <c r="F121" s="13"/>
      <c r="G121" s="153">
        <f>IF(AND(Sum!$F502="Yes",Sum!$G502="Cash",Sum!H$397=G$5),Sum!H502,0)</f>
        <v>0</v>
      </c>
      <c r="H121" s="13">
        <f>IF(AND(Sum!$F502="Yes",Sum!$G502="Cash",Sum!I$397=H$5),Sum!I502,0)</f>
        <v>0</v>
      </c>
      <c r="I121" s="13">
        <f>IF(AND(Sum!$F502="Yes",Sum!$G502="Cash",Sum!J$397=I$5),Sum!J502,0)</f>
        <v>0</v>
      </c>
      <c r="J121" s="13">
        <f>IF(AND(Sum!$F502="Yes",Sum!$G502="Cash",Sum!K$397=J$5),Sum!K502,0)</f>
        <v>0</v>
      </c>
      <c r="K121" s="13">
        <f>IF(AND(Sum!$F502="Yes",Sum!$G502="Cash",Sum!L$397=K$5),Sum!L502,0)</f>
        <v>0</v>
      </c>
      <c r="L121" s="13">
        <f>IF(AND(Sum!$F502="Yes",Sum!$G502="Cash",Sum!M$397=L$5),Sum!M502,0)</f>
        <v>0</v>
      </c>
      <c r="M121" s="13">
        <f>IF(AND(Sum!$F502="Yes",Sum!$G502="Cash",Sum!N$397=M$5),Sum!N502,0)</f>
        <v>0</v>
      </c>
      <c r="N121" s="13">
        <f>IF(AND(Sum!$F502="Yes",Sum!$G502="Cash",Sum!O$397=N$5),Sum!O502,0)</f>
        <v>0</v>
      </c>
      <c r="O121" s="13">
        <f>IF(AND(Sum!$F502="Yes",Sum!$G502="Cash",Sum!P$397=O$5),Sum!P502,0)</f>
        <v>0</v>
      </c>
      <c r="P121" s="13">
        <f>IF(AND(Sum!$F502="Yes",Sum!$G502="Cash",Sum!Q$397=P$5),Sum!Q502,0)</f>
        <v>0</v>
      </c>
      <c r="Q121" s="264" t="str">
        <f>IF(AND(Sum!$F502="Yes",Sum!$G502="Cash"),Sum!$E502,"")</f>
        <v/>
      </c>
    </row>
    <row r="122" spans="1:17" ht="12.75" customHeight="1" x14ac:dyDescent="0.25">
      <c r="A122" s="18"/>
      <c r="B122" s="13" t="str">
        <f>IF(AND(Sum!$F503="Yes",Sum!$G503="Cash"),Sum!$B503,"")</f>
        <v/>
      </c>
      <c r="C122" s="13"/>
      <c r="D122" s="13"/>
      <c r="E122" s="13"/>
      <c r="F122" s="13"/>
      <c r="G122" s="153">
        <f>IF(AND(Sum!$F503="Yes",Sum!$G503="Cash",Sum!H$397=G$5),Sum!H503,0)</f>
        <v>0</v>
      </c>
      <c r="H122" s="13">
        <f>IF(AND(Sum!$F503="Yes",Sum!$G503="Cash",Sum!I$397=H$5),Sum!I503,0)</f>
        <v>0</v>
      </c>
      <c r="I122" s="13">
        <f>IF(AND(Sum!$F503="Yes",Sum!$G503="Cash",Sum!J$397=I$5),Sum!J503,0)</f>
        <v>0</v>
      </c>
      <c r="J122" s="13">
        <f>IF(AND(Sum!$F503="Yes",Sum!$G503="Cash",Sum!K$397=J$5),Sum!K503,0)</f>
        <v>0</v>
      </c>
      <c r="K122" s="13">
        <f>IF(AND(Sum!$F503="Yes",Sum!$G503="Cash",Sum!L$397=K$5),Sum!L503,0)</f>
        <v>0</v>
      </c>
      <c r="L122" s="13">
        <f>IF(AND(Sum!$F503="Yes",Sum!$G503="Cash",Sum!M$397=L$5),Sum!M503,0)</f>
        <v>0</v>
      </c>
      <c r="M122" s="13">
        <f>IF(AND(Sum!$F503="Yes",Sum!$G503="Cash",Sum!N$397=M$5),Sum!N503,0)</f>
        <v>0</v>
      </c>
      <c r="N122" s="13">
        <f>IF(AND(Sum!$F503="Yes",Sum!$G503="Cash",Sum!O$397=N$5),Sum!O503,0)</f>
        <v>0</v>
      </c>
      <c r="O122" s="13">
        <f>IF(AND(Sum!$F503="Yes",Sum!$G503="Cash",Sum!P$397=O$5),Sum!P503,0)</f>
        <v>0</v>
      </c>
      <c r="P122" s="13">
        <f>IF(AND(Sum!$F503="Yes",Sum!$G503="Cash",Sum!Q$397=P$5),Sum!Q503,0)</f>
        <v>0</v>
      </c>
      <c r="Q122" s="264" t="str">
        <f>IF(AND(Sum!$F503="Yes",Sum!$G503="Cash"),Sum!$E503,"")</f>
        <v/>
      </c>
    </row>
    <row r="123" spans="1:17" ht="12.75" customHeight="1" x14ac:dyDescent="0.25">
      <c r="A123" s="18"/>
      <c r="B123" s="13" t="str">
        <f>IF(AND(Sum!$F504="Yes",Sum!$G504="Cash"),Sum!$B504,"")</f>
        <v/>
      </c>
      <c r="C123" s="13"/>
      <c r="D123" s="13"/>
      <c r="E123" s="13"/>
      <c r="F123" s="13"/>
      <c r="G123" s="153">
        <f>IF(AND(Sum!$F504="Yes",Sum!$G504="Cash",Sum!H$397=G$5),Sum!H504,0)</f>
        <v>0</v>
      </c>
      <c r="H123" s="13">
        <f>IF(AND(Sum!$F504="Yes",Sum!$G504="Cash",Sum!I$397=H$5),Sum!I504,0)</f>
        <v>0</v>
      </c>
      <c r="I123" s="13">
        <f>IF(AND(Sum!$F504="Yes",Sum!$G504="Cash",Sum!J$397=I$5),Sum!J504,0)</f>
        <v>0</v>
      </c>
      <c r="J123" s="13">
        <f>IF(AND(Sum!$F504="Yes",Sum!$G504="Cash",Sum!K$397=J$5),Sum!K504,0)</f>
        <v>0</v>
      </c>
      <c r="K123" s="13">
        <f>IF(AND(Sum!$F504="Yes",Sum!$G504="Cash",Sum!L$397=K$5),Sum!L504,0)</f>
        <v>0</v>
      </c>
      <c r="L123" s="13">
        <f>IF(AND(Sum!$F504="Yes",Sum!$G504="Cash",Sum!M$397=L$5),Sum!M504,0)</f>
        <v>0</v>
      </c>
      <c r="M123" s="13">
        <f>IF(AND(Sum!$F504="Yes",Sum!$G504="Cash",Sum!N$397=M$5),Sum!N504,0)</f>
        <v>0</v>
      </c>
      <c r="N123" s="13">
        <f>IF(AND(Sum!$F504="Yes",Sum!$G504="Cash",Sum!O$397=N$5),Sum!O504,0)</f>
        <v>0</v>
      </c>
      <c r="O123" s="13">
        <f>IF(AND(Sum!$F504="Yes",Sum!$G504="Cash",Sum!P$397=O$5),Sum!P504,0)</f>
        <v>0</v>
      </c>
      <c r="P123" s="13">
        <f>IF(AND(Sum!$F504="Yes",Sum!$G504="Cash",Sum!Q$397=P$5),Sum!Q504,0)</f>
        <v>0</v>
      </c>
      <c r="Q123" s="264" t="str">
        <f>IF(AND(Sum!$F504="Yes",Sum!$G504="Cash"),Sum!$E504,"")</f>
        <v/>
      </c>
    </row>
    <row r="124" spans="1:17" ht="12.75" customHeight="1" x14ac:dyDescent="0.25">
      <c r="A124" s="18"/>
      <c r="B124" s="13" t="str">
        <f>IF(AND(Sum!$F505="Yes",Sum!$G505="Cash"),Sum!$B505,"")</f>
        <v/>
      </c>
      <c r="C124" s="13"/>
      <c r="D124" s="13"/>
      <c r="E124" s="13"/>
      <c r="F124" s="13"/>
      <c r="G124" s="153">
        <f>IF(AND(Sum!$F505="Yes",Sum!$G505="Cash",Sum!H$397=G$5),Sum!H505,0)</f>
        <v>0</v>
      </c>
      <c r="H124" s="13">
        <f>IF(AND(Sum!$F505="Yes",Sum!$G505="Cash",Sum!I$397=H$5),Sum!I505,0)</f>
        <v>0</v>
      </c>
      <c r="I124" s="13">
        <f>IF(AND(Sum!$F505="Yes",Sum!$G505="Cash",Sum!J$397=I$5),Sum!J505,0)</f>
        <v>0</v>
      </c>
      <c r="J124" s="13">
        <f>IF(AND(Sum!$F505="Yes",Sum!$G505="Cash",Sum!K$397=J$5),Sum!K505,0)</f>
        <v>0</v>
      </c>
      <c r="K124" s="13">
        <f>IF(AND(Sum!$F505="Yes",Sum!$G505="Cash",Sum!L$397=K$5),Sum!L505,0)</f>
        <v>0</v>
      </c>
      <c r="L124" s="13">
        <f>IF(AND(Sum!$F505="Yes",Sum!$G505="Cash",Sum!M$397=L$5),Sum!M505,0)</f>
        <v>0</v>
      </c>
      <c r="M124" s="13">
        <f>IF(AND(Sum!$F505="Yes",Sum!$G505="Cash",Sum!N$397=M$5),Sum!N505,0)</f>
        <v>0</v>
      </c>
      <c r="N124" s="13">
        <f>IF(AND(Sum!$F505="Yes",Sum!$G505="Cash",Sum!O$397=N$5),Sum!O505,0)</f>
        <v>0</v>
      </c>
      <c r="O124" s="13">
        <f>IF(AND(Sum!$F505="Yes",Sum!$G505="Cash",Sum!P$397=O$5),Sum!P505,0)</f>
        <v>0</v>
      </c>
      <c r="P124" s="13">
        <f>IF(AND(Sum!$F505="Yes",Sum!$G505="Cash",Sum!Q$397=P$5),Sum!Q505,0)</f>
        <v>0</v>
      </c>
      <c r="Q124" s="264" t="str">
        <f>IF(AND(Sum!$F505="Yes",Sum!$G505="Cash"),Sum!$E505,"")</f>
        <v/>
      </c>
    </row>
    <row r="125" spans="1:17" ht="12.75" customHeight="1" x14ac:dyDescent="0.25">
      <c r="A125" s="18"/>
      <c r="B125" s="13" t="str">
        <f>IF(AND(Sum!$F506="Yes",Sum!$G506="Cash"),Sum!$B506,"")</f>
        <v/>
      </c>
      <c r="C125" s="13"/>
      <c r="D125" s="13"/>
      <c r="E125" s="13"/>
      <c r="F125" s="13"/>
      <c r="G125" s="153">
        <f>IF(AND(Sum!$F506="Yes",Sum!$G506="Cash",Sum!H$397=G$5),Sum!H506,0)</f>
        <v>0</v>
      </c>
      <c r="H125" s="13">
        <f>IF(AND(Sum!$F506="Yes",Sum!$G506="Cash",Sum!I$397=H$5),Sum!I506,0)</f>
        <v>0</v>
      </c>
      <c r="I125" s="13">
        <f>IF(AND(Sum!$F506="Yes",Sum!$G506="Cash",Sum!J$397=I$5),Sum!J506,0)</f>
        <v>0</v>
      </c>
      <c r="J125" s="13">
        <f>IF(AND(Sum!$F506="Yes",Sum!$G506="Cash",Sum!K$397=J$5),Sum!K506,0)</f>
        <v>0</v>
      </c>
      <c r="K125" s="13">
        <f>IF(AND(Sum!$F506="Yes",Sum!$G506="Cash",Sum!L$397=K$5),Sum!L506,0)</f>
        <v>0</v>
      </c>
      <c r="L125" s="13">
        <f>IF(AND(Sum!$F506="Yes",Sum!$G506="Cash",Sum!M$397=L$5),Sum!M506,0)</f>
        <v>0</v>
      </c>
      <c r="M125" s="13">
        <f>IF(AND(Sum!$F506="Yes",Sum!$G506="Cash",Sum!N$397=M$5),Sum!N506,0)</f>
        <v>0</v>
      </c>
      <c r="N125" s="13">
        <f>IF(AND(Sum!$F506="Yes",Sum!$G506="Cash",Sum!O$397=N$5),Sum!O506,0)</f>
        <v>0</v>
      </c>
      <c r="O125" s="13">
        <f>IF(AND(Sum!$F506="Yes",Sum!$G506="Cash",Sum!P$397=O$5),Sum!P506,0)</f>
        <v>0</v>
      </c>
      <c r="P125" s="13">
        <f>IF(AND(Sum!$F506="Yes",Sum!$G506="Cash",Sum!Q$397=P$5),Sum!Q506,0)</f>
        <v>0</v>
      </c>
      <c r="Q125" s="264" t="str">
        <f>IF(AND(Sum!$F506="Yes",Sum!$G506="Cash"),Sum!$E506,"")</f>
        <v/>
      </c>
    </row>
    <row r="126" spans="1:17" ht="12.75" customHeight="1" x14ac:dyDescent="0.25">
      <c r="A126" s="18"/>
      <c r="B126" s="13" t="str">
        <f>IF(AND(Sum!$F507="Yes",Sum!$G507="Cash"),Sum!$B507,"")</f>
        <v/>
      </c>
      <c r="C126" s="13"/>
      <c r="D126" s="13"/>
      <c r="E126" s="13"/>
      <c r="F126" s="13"/>
      <c r="G126" s="153">
        <f>IF(AND(Sum!$F507="Yes",Sum!$G507="Cash",Sum!H$397=G$5),Sum!H507,0)</f>
        <v>0</v>
      </c>
      <c r="H126" s="13">
        <f>IF(AND(Sum!$F507="Yes",Sum!$G507="Cash",Sum!I$397=H$5),Sum!I507,0)</f>
        <v>0</v>
      </c>
      <c r="I126" s="13">
        <f>IF(AND(Sum!$F507="Yes",Sum!$G507="Cash",Sum!J$397=I$5),Sum!J507,0)</f>
        <v>0</v>
      </c>
      <c r="J126" s="13">
        <f>IF(AND(Sum!$F507="Yes",Sum!$G507="Cash",Sum!K$397=J$5),Sum!K507,0)</f>
        <v>0</v>
      </c>
      <c r="K126" s="13">
        <f>IF(AND(Sum!$F507="Yes",Sum!$G507="Cash",Sum!L$397=K$5),Sum!L507,0)</f>
        <v>0</v>
      </c>
      <c r="L126" s="13">
        <f>IF(AND(Sum!$F507="Yes",Sum!$G507="Cash",Sum!M$397=L$5),Sum!M507,0)</f>
        <v>0</v>
      </c>
      <c r="M126" s="13">
        <f>IF(AND(Sum!$F507="Yes",Sum!$G507="Cash",Sum!N$397=M$5),Sum!N507,0)</f>
        <v>0</v>
      </c>
      <c r="N126" s="13">
        <f>IF(AND(Sum!$F507="Yes",Sum!$G507="Cash",Sum!O$397=N$5),Sum!O507,0)</f>
        <v>0</v>
      </c>
      <c r="O126" s="13">
        <f>IF(AND(Sum!$F507="Yes",Sum!$G507="Cash",Sum!P$397=O$5),Sum!P507,0)</f>
        <v>0</v>
      </c>
      <c r="P126" s="13">
        <f>IF(AND(Sum!$F507="Yes",Sum!$G507="Cash",Sum!Q$397=P$5),Sum!Q507,0)</f>
        <v>0</v>
      </c>
      <c r="Q126" s="264" t="str">
        <f>IF(AND(Sum!$F507="Yes",Sum!$G507="Cash"),Sum!$E507,"")</f>
        <v/>
      </c>
    </row>
    <row r="127" spans="1:17" ht="12.75" customHeight="1" x14ac:dyDescent="0.25">
      <c r="A127" s="18"/>
      <c r="B127" s="13" t="str">
        <f>IF(AND(Sum!$F508="Yes",Sum!$G508="Cash"),Sum!$B508,"")</f>
        <v/>
      </c>
      <c r="C127" s="13"/>
      <c r="D127" s="13"/>
      <c r="E127" s="13"/>
      <c r="F127" s="13"/>
      <c r="G127" s="153">
        <f>IF(AND(Sum!$F508="Yes",Sum!$G508="Cash",Sum!H$397=G$5),Sum!H508,0)</f>
        <v>0</v>
      </c>
      <c r="H127" s="13">
        <f>IF(AND(Sum!$F508="Yes",Sum!$G508="Cash",Sum!I$397=H$5),Sum!I508,0)</f>
        <v>0</v>
      </c>
      <c r="I127" s="13">
        <f>IF(AND(Sum!$F508="Yes",Sum!$G508="Cash",Sum!J$397=I$5),Sum!J508,0)</f>
        <v>0</v>
      </c>
      <c r="J127" s="13">
        <f>IF(AND(Sum!$F508="Yes",Sum!$G508="Cash",Sum!K$397=J$5),Sum!K508,0)</f>
        <v>0</v>
      </c>
      <c r="K127" s="13">
        <f>IF(AND(Sum!$F508="Yes",Sum!$G508="Cash",Sum!L$397=K$5),Sum!L508,0)</f>
        <v>0</v>
      </c>
      <c r="L127" s="13">
        <f>IF(AND(Sum!$F508="Yes",Sum!$G508="Cash",Sum!M$397=L$5),Sum!M508,0)</f>
        <v>0</v>
      </c>
      <c r="M127" s="13">
        <f>IF(AND(Sum!$F508="Yes",Sum!$G508="Cash",Sum!N$397=M$5),Sum!N508,0)</f>
        <v>0</v>
      </c>
      <c r="N127" s="13">
        <f>IF(AND(Sum!$F508="Yes",Sum!$G508="Cash",Sum!O$397=N$5),Sum!O508,0)</f>
        <v>0</v>
      </c>
      <c r="O127" s="13">
        <f>IF(AND(Sum!$F508="Yes",Sum!$G508="Cash",Sum!P$397=O$5),Sum!P508,0)</f>
        <v>0</v>
      </c>
      <c r="P127" s="13">
        <f>IF(AND(Sum!$F508="Yes",Sum!$G508="Cash",Sum!Q$397=P$5),Sum!Q508,0)</f>
        <v>0</v>
      </c>
      <c r="Q127" s="264" t="str">
        <f>IF(AND(Sum!$F508="Yes",Sum!$G508="Cash"),Sum!$E508,"")</f>
        <v/>
      </c>
    </row>
    <row r="128" spans="1:17" ht="12.75" customHeight="1" x14ac:dyDescent="0.25">
      <c r="A128" s="18"/>
      <c r="B128" s="13" t="str">
        <f>IF(AND(Sum!$F509="Yes",Sum!$G509="Cash"),Sum!$B509,"")</f>
        <v/>
      </c>
      <c r="C128" s="13"/>
      <c r="D128" s="13"/>
      <c r="E128" s="13"/>
      <c r="F128" s="13"/>
      <c r="G128" s="153">
        <f>IF(AND(Sum!$F509="Yes",Sum!$G509="Cash",Sum!H$397=G$5),Sum!H509,0)</f>
        <v>0</v>
      </c>
      <c r="H128" s="13">
        <f>IF(AND(Sum!$F509="Yes",Sum!$G509="Cash",Sum!I$397=H$5),Sum!I509,0)</f>
        <v>0</v>
      </c>
      <c r="I128" s="13">
        <f>IF(AND(Sum!$F509="Yes",Sum!$G509="Cash",Sum!J$397=I$5),Sum!J509,0)</f>
        <v>0</v>
      </c>
      <c r="J128" s="13">
        <f>IF(AND(Sum!$F509="Yes",Sum!$G509="Cash",Sum!K$397=J$5),Sum!K509,0)</f>
        <v>0</v>
      </c>
      <c r="K128" s="13">
        <f>IF(AND(Sum!$F509="Yes",Sum!$G509="Cash",Sum!L$397=K$5),Sum!L509,0)</f>
        <v>0</v>
      </c>
      <c r="L128" s="13">
        <f>IF(AND(Sum!$F509="Yes",Sum!$G509="Cash",Sum!M$397=L$5),Sum!M509,0)</f>
        <v>0</v>
      </c>
      <c r="M128" s="13">
        <f>IF(AND(Sum!$F509="Yes",Sum!$G509="Cash",Sum!N$397=M$5),Sum!N509,0)</f>
        <v>0</v>
      </c>
      <c r="N128" s="13">
        <f>IF(AND(Sum!$F509="Yes",Sum!$G509="Cash",Sum!O$397=N$5),Sum!O509,0)</f>
        <v>0</v>
      </c>
      <c r="O128" s="13">
        <f>IF(AND(Sum!$F509="Yes",Sum!$G509="Cash",Sum!P$397=O$5),Sum!P509,0)</f>
        <v>0</v>
      </c>
      <c r="P128" s="13">
        <f>IF(AND(Sum!$F509="Yes",Sum!$G509="Cash",Sum!Q$397=P$5),Sum!Q509,0)</f>
        <v>0</v>
      </c>
      <c r="Q128" s="264" t="str">
        <f>IF(AND(Sum!$F509="Yes",Sum!$G509="Cash"),Sum!$E509,"")</f>
        <v/>
      </c>
    </row>
    <row r="129" spans="1:17" ht="12.75" customHeight="1" x14ac:dyDescent="0.25">
      <c r="A129" s="18"/>
      <c r="B129" s="13" t="str">
        <f>IF(AND(Sum!$F510="Yes",Sum!$G510="Cash"),Sum!$B510,"")</f>
        <v/>
      </c>
      <c r="C129" s="13"/>
      <c r="D129" s="13"/>
      <c r="E129" s="13"/>
      <c r="F129" s="13"/>
      <c r="G129" s="153">
        <f>IF(AND(Sum!$F510="Yes",Sum!$G510="Cash",Sum!H$397=G$5),Sum!H510,0)</f>
        <v>0</v>
      </c>
      <c r="H129" s="13">
        <f>IF(AND(Sum!$F510="Yes",Sum!$G510="Cash",Sum!I$397=H$5),Sum!I510,0)</f>
        <v>0</v>
      </c>
      <c r="I129" s="13">
        <f>IF(AND(Sum!$F510="Yes",Sum!$G510="Cash",Sum!J$397=I$5),Sum!J510,0)</f>
        <v>0</v>
      </c>
      <c r="J129" s="13">
        <f>IF(AND(Sum!$F510="Yes",Sum!$G510="Cash",Sum!K$397=J$5),Sum!K510,0)</f>
        <v>0</v>
      </c>
      <c r="K129" s="13">
        <f>IF(AND(Sum!$F510="Yes",Sum!$G510="Cash",Sum!L$397=K$5),Sum!L510,0)</f>
        <v>0</v>
      </c>
      <c r="L129" s="13">
        <f>IF(AND(Sum!$F510="Yes",Sum!$G510="Cash",Sum!M$397=L$5),Sum!M510,0)</f>
        <v>0</v>
      </c>
      <c r="M129" s="13">
        <f>IF(AND(Sum!$F510="Yes",Sum!$G510="Cash",Sum!N$397=M$5),Sum!N510,0)</f>
        <v>0</v>
      </c>
      <c r="N129" s="13">
        <f>IF(AND(Sum!$F510="Yes",Sum!$G510="Cash",Sum!O$397=N$5),Sum!O510,0)</f>
        <v>0</v>
      </c>
      <c r="O129" s="13">
        <f>IF(AND(Sum!$F510="Yes",Sum!$G510="Cash",Sum!P$397=O$5),Sum!P510,0)</f>
        <v>0</v>
      </c>
      <c r="P129" s="13">
        <f>IF(AND(Sum!$F510="Yes",Sum!$G510="Cash",Sum!Q$397=P$5),Sum!Q510,0)</f>
        <v>0</v>
      </c>
      <c r="Q129" s="264" t="str">
        <f>IF(AND(Sum!$F510="Yes",Sum!$G510="Cash"),Sum!$E510,"")</f>
        <v/>
      </c>
    </row>
    <row r="130" spans="1:17" ht="12.75" customHeight="1" x14ac:dyDescent="0.25">
      <c r="A130" s="18"/>
      <c r="B130" s="13" t="str">
        <f>IF(AND(Sum!$F511="Yes",Sum!$G511="Cash"),Sum!$B511,"")</f>
        <v/>
      </c>
      <c r="C130" s="13"/>
      <c r="D130" s="13"/>
      <c r="E130" s="13"/>
      <c r="F130" s="13"/>
      <c r="G130" s="153">
        <f>IF(AND(Sum!$F511="Yes",Sum!$G511="Cash",Sum!H$397=G$5),Sum!H511,0)</f>
        <v>0</v>
      </c>
      <c r="H130" s="13">
        <f>IF(AND(Sum!$F511="Yes",Sum!$G511="Cash",Sum!I$397=H$5),Sum!I511,0)</f>
        <v>0</v>
      </c>
      <c r="I130" s="13">
        <f>IF(AND(Sum!$F511="Yes",Sum!$G511="Cash",Sum!J$397=I$5),Sum!J511,0)</f>
        <v>0</v>
      </c>
      <c r="J130" s="13">
        <f>IF(AND(Sum!$F511="Yes",Sum!$G511="Cash",Sum!K$397=J$5),Sum!K511,0)</f>
        <v>0</v>
      </c>
      <c r="K130" s="13">
        <f>IF(AND(Sum!$F511="Yes",Sum!$G511="Cash",Sum!L$397=K$5),Sum!L511,0)</f>
        <v>0</v>
      </c>
      <c r="L130" s="13">
        <f>IF(AND(Sum!$F511="Yes",Sum!$G511="Cash",Sum!M$397=L$5),Sum!M511,0)</f>
        <v>0</v>
      </c>
      <c r="M130" s="13">
        <f>IF(AND(Sum!$F511="Yes",Sum!$G511="Cash",Sum!N$397=M$5),Sum!N511,0)</f>
        <v>0</v>
      </c>
      <c r="N130" s="13">
        <f>IF(AND(Sum!$F511="Yes",Sum!$G511="Cash",Sum!O$397=N$5),Sum!O511,0)</f>
        <v>0</v>
      </c>
      <c r="O130" s="13">
        <f>IF(AND(Sum!$F511="Yes",Sum!$G511="Cash",Sum!P$397=O$5),Sum!P511,0)</f>
        <v>0</v>
      </c>
      <c r="P130" s="13">
        <f>IF(AND(Sum!$F511="Yes",Sum!$G511="Cash",Sum!Q$397=P$5),Sum!Q511,0)</f>
        <v>0</v>
      </c>
      <c r="Q130" s="264" t="str">
        <f>IF(AND(Sum!$F511="Yes",Sum!$G511="Cash"),Sum!$E511,"")</f>
        <v/>
      </c>
    </row>
    <row r="131" spans="1:17" ht="12.75" customHeight="1" x14ac:dyDescent="0.25">
      <c r="A131" s="18"/>
      <c r="B131" s="13" t="str">
        <f>IF(AND(Sum!$F512="Yes",Sum!$G512="Cash"),Sum!$B512,"")</f>
        <v/>
      </c>
      <c r="C131" s="13"/>
      <c r="D131" s="13"/>
      <c r="E131" s="13"/>
      <c r="F131" s="13"/>
      <c r="G131" s="153">
        <f>IF(AND(Sum!$F512="Yes",Sum!$G512="Cash",Sum!H$397=G$5),Sum!H512,0)</f>
        <v>0</v>
      </c>
      <c r="H131" s="13">
        <f>IF(AND(Sum!$F512="Yes",Sum!$G512="Cash",Sum!I$397=H$5),Sum!I512,0)</f>
        <v>0</v>
      </c>
      <c r="I131" s="13">
        <f>IF(AND(Sum!$F512="Yes",Sum!$G512="Cash",Sum!J$397=I$5),Sum!J512,0)</f>
        <v>0</v>
      </c>
      <c r="J131" s="13">
        <f>IF(AND(Sum!$F512="Yes",Sum!$G512="Cash",Sum!K$397=J$5),Sum!K512,0)</f>
        <v>0</v>
      </c>
      <c r="K131" s="13">
        <f>IF(AND(Sum!$F512="Yes",Sum!$G512="Cash",Sum!L$397=K$5),Sum!L512,0)</f>
        <v>0</v>
      </c>
      <c r="L131" s="13">
        <f>IF(AND(Sum!$F512="Yes",Sum!$G512="Cash",Sum!M$397=L$5),Sum!M512,0)</f>
        <v>0</v>
      </c>
      <c r="M131" s="13">
        <f>IF(AND(Sum!$F512="Yes",Sum!$G512="Cash",Sum!N$397=M$5),Sum!N512,0)</f>
        <v>0</v>
      </c>
      <c r="N131" s="13">
        <f>IF(AND(Sum!$F512="Yes",Sum!$G512="Cash",Sum!O$397=N$5),Sum!O512,0)</f>
        <v>0</v>
      </c>
      <c r="O131" s="13">
        <f>IF(AND(Sum!$F512="Yes",Sum!$G512="Cash",Sum!P$397=O$5),Sum!P512,0)</f>
        <v>0</v>
      </c>
      <c r="P131" s="13">
        <f>IF(AND(Sum!$F512="Yes",Sum!$G512="Cash",Sum!Q$397=P$5),Sum!Q512,0)</f>
        <v>0</v>
      </c>
      <c r="Q131" s="264" t="str">
        <f>IF(AND(Sum!$F512="Yes",Sum!$G512="Cash"),Sum!$E512,"")</f>
        <v/>
      </c>
    </row>
    <row r="132" spans="1:17" ht="12.75" customHeight="1" x14ac:dyDescent="0.25">
      <c r="A132" s="18"/>
      <c r="B132" s="13" t="str">
        <f>IF(AND(Sum!$F513="Yes",Sum!$G513="Cash"),Sum!$B513,"")</f>
        <v/>
      </c>
      <c r="C132" s="13"/>
      <c r="D132" s="13"/>
      <c r="E132" s="13"/>
      <c r="F132" s="13"/>
      <c r="G132" s="153">
        <f>IF(AND(Sum!$F513="Yes",Sum!$G513="Cash",Sum!H$397=G$5),Sum!H513,0)</f>
        <v>0</v>
      </c>
      <c r="H132" s="13">
        <f>IF(AND(Sum!$F513="Yes",Sum!$G513="Cash",Sum!I$397=H$5),Sum!I513,0)</f>
        <v>0</v>
      </c>
      <c r="I132" s="13">
        <f>IF(AND(Sum!$F513="Yes",Sum!$G513="Cash",Sum!J$397=I$5),Sum!J513,0)</f>
        <v>0</v>
      </c>
      <c r="J132" s="13">
        <f>IF(AND(Sum!$F513="Yes",Sum!$G513="Cash",Sum!K$397=J$5),Sum!K513,0)</f>
        <v>0</v>
      </c>
      <c r="K132" s="13">
        <f>IF(AND(Sum!$F513="Yes",Sum!$G513="Cash",Sum!L$397=K$5),Sum!L513,0)</f>
        <v>0</v>
      </c>
      <c r="L132" s="13">
        <f>IF(AND(Sum!$F513="Yes",Sum!$G513="Cash",Sum!M$397=L$5),Sum!M513,0)</f>
        <v>0</v>
      </c>
      <c r="M132" s="13">
        <f>IF(AND(Sum!$F513="Yes",Sum!$G513="Cash",Sum!N$397=M$5),Sum!N513,0)</f>
        <v>0</v>
      </c>
      <c r="N132" s="13">
        <f>IF(AND(Sum!$F513="Yes",Sum!$G513="Cash",Sum!O$397=N$5),Sum!O513,0)</f>
        <v>0</v>
      </c>
      <c r="O132" s="13">
        <f>IF(AND(Sum!$F513="Yes",Sum!$G513="Cash",Sum!P$397=O$5),Sum!P513,0)</f>
        <v>0</v>
      </c>
      <c r="P132" s="13">
        <f>IF(AND(Sum!$F513="Yes",Sum!$G513="Cash",Sum!Q$397=P$5),Sum!Q513,0)</f>
        <v>0</v>
      </c>
      <c r="Q132" s="264" t="str">
        <f>IF(AND(Sum!$F513="Yes",Sum!$G513="Cash"),Sum!$E513,"")</f>
        <v/>
      </c>
    </row>
    <row r="133" spans="1:17" ht="12.75" customHeight="1" x14ac:dyDescent="0.25">
      <c r="A133" s="18"/>
      <c r="B133" s="13" t="str">
        <f>IF(AND(Sum!$F514="Yes",Sum!$G514="Cash"),Sum!$B514,"")</f>
        <v/>
      </c>
      <c r="C133" s="13"/>
      <c r="D133" s="13"/>
      <c r="E133" s="13"/>
      <c r="F133" s="13"/>
      <c r="G133" s="153">
        <f>IF(AND(Sum!$F514="Yes",Sum!$G514="Cash",Sum!H$397=G$5),Sum!H514,0)</f>
        <v>0</v>
      </c>
      <c r="H133" s="13">
        <f>IF(AND(Sum!$F514="Yes",Sum!$G514="Cash",Sum!I$397=H$5),Sum!I514,0)</f>
        <v>0</v>
      </c>
      <c r="I133" s="13">
        <f>IF(AND(Sum!$F514="Yes",Sum!$G514="Cash",Sum!J$397=I$5),Sum!J514,0)</f>
        <v>0</v>
      </c>
      <c r="J133" s="13">
        <f>IF(AND(Sum!$F514="Yes",Sum!$G514="Cash",Sum!K$397=J$5),Sum!K514,0)</f>
        <v>0</v>
      </c>
      <c r="K133" s="13">
        <f>IF(AND(Sum!$F514="Yes",Sum!$G514="Cash",Sum!L$397=K$5),Sum!L514,0)</f>
        <v>0</v>
      </c>
      <c r="L133" s="13">
        <f>IF(AND(Sum!$F514="Yes",Sum!$G514="Cash",Sum!M$397=L$5),Sum!M514,0)</f>
        <v>0</v>
      </c>
      <c r="M133" s="13">
        <f>IF(AND(Sum!$F514="Yes",Sum!$G514="Cash",Sum!N$397=M$5),Sum!N514,0)</f>
        <v>0</v>
      </c>
      <c r="N133" s="13">
        <f>IF(AND(Sum!$F514="Yes",Sum!$G514="Cash",Sum!O$397=N$5),Sum!O514,0)</f>
        <v>0</v>
      </c>
      <c r="O133" s="13">
        <f>IF(AND(Sum!$F514="Yes",Sum!$G514="Cash",Sum!P$397=O$5),Sum!P514,0)</f>
        <v>0</v>
      </c>
      <c r="P133" s="13">
        <f>IF(AND(Sum!$F514="Yes",Sum!$G514="Cash",Sum!Q$397=P$5),Sum!Q514,0)</f>
        <v>0</v>
      </c>
      <c r="Q133" s="264" t="str">
        <f>IF(AND(Sum!$F514="Yes",Sum!$G514="Cash"),Sum!$E514,"")</f>
        <v/>
      </c>
    </row>
    <row r="134" spans="1:17" ht="12.75" customHeight="1" x14ac:dyDescent="0.25">
      <c r="A134" s="18"/>
      <c r="B134" s="13" t="str">
        <f>IF(AND(Sum!$F515="Yes",Sum!$G515="Cash"),Sum!$B515,"")</f>
        <v/>
      </c>
      <c r="C134" s="13"/>
      <c r="D134" s="13"/>
      <c r="E134" s="13"/>
      <c r="F134" s="13"/>
      <c r="G134" s="153">
        <f>IF(AND(Sum!$F515="Yes",Sum!$G515="Cash",Sum!H$397=G$5),Sum!H515,0)</f>
        <v>0</v>
      </c>
      <c r="H134" s="13">
        <f>IF(AND(Sum!$F515="Yes",Sum!$G515="Cash",Sum!I$397=H$5),Sum!I515,0)</f>
        <v>0</v>
      </c>
      <c r="I134" s="13">
        <f>IF(AND(Sum!$F515="Yes",Sum!$G515="Cash",Sum!J$397=I$5),Sum!J515,0)</f>
        <v>0</v>
      </c>
      <c r="J134" s="13">
        <f>IF(AND(Sum!$F515="Yes",Sum!$G515="Cash",Sum!K$397=J$5),Sum!K515,0)</f>
        <v>0</v>
      </c>
      <c r="K134" s="13">
        <f>IF(AND(Sum!$F515="Yes",Sum!$G515="Cash",Sum!L$397=K$5),Sum!L515,0)</f>
        <v>0</v>
      </c>
      <c r="L134" s="13">
        <f>IF(AND(Sum!$F515="Yes",Sum!$G515="Cash",Sum!M$397=L$5),Sum!M515,0)</f>
        <v>0</v>
      </c>
      <c r="M134" s="13">
        <f>IF(AND(Sum!$F515="Yes",Sum!$G515="Cash",Sum!N$397=M$5),Sum!N515,0)</f>
        <v>0</v>
      </c>
      <c r="N134" s="13">
        <f>IF(AND(Sum!$F515="Yes",Sum!$G515="Cash",Sum!O$397=N$5),Sum!O515,0)</f>
        <v>0</v>
      </c>
      <c r="O134" s="13">
        <f>IF(AND(Sum!$F515="Yes",Sum!$G515="Cash",Sum!P$397=O$5),Sum!P515,0)</f>
        <v>0</v>
      </c>
      <c r="P134" s="13">
        <f>IF(AND(Sum!$F515="Yes",Sum!$G515="Cash",Sum!Q$397=P$5),Sum!Q515,0)</f>
        <v>0</v>
      </c>
      <c r="Q134" s="264" t="str">
        <f>IF(AND(Sum!$F515="Yes",Sum!$G515="Cash"),Sum!$E515,"")</f>
        <v/>
      </c>
    </row>
    <row r="135" spans="1:17" ht="12.75" customHeight="1" x14ac:dyDescent="0.25">
      <c r="A135" s="18"/>
      <c r="B135" s="13" t="str">
        <f>IF(AND(Sum!$F516="Yes",Sum!$G516="Cash"),Sum!$B516,"")</f>
        <v/>
      </c>
      <c r="C135" s="13"/>
      <c r="D135" s="13"/>
      <c r="E135" s="13"/>
      <c r="F135" s="13"/>
      <c r="G135" s="153">
        <f>IF(AND(Sum!$F516="Yes",Sum!$G516="Cash",Sum!H$397=G$5),Sum!H516,0)</f>
        <v>0</v>
      </c>
      <c r="H135" s="13">
        <f>IF(AND(Sum!$F516="Yes",Sum!$G516="Cash",Sum!I$397=H$5),Sum!I516,0)</f>
        <v>0</v>
      </c>
      <c r="I135" s="13">
        <f>IF(AND(Sum!$F516="Yes",Sum!$G516="Cash",Sum!J$397=I$5),Sum!J516,0)</f>
        <v>0</v>
      </c>
      <c r="J135" s="13">
        <f>IF(AND(Sum!$F516="Yes",Sum!$G516="Cash",Sum!K$397=J$5),Sum!K516,0)</f>
        <v>0</v>
      </c>
      <c r="K135" s="13">
        <f>IF(AND(Sum!$F516="Yes",Sum!$G516="Cash",Sum!L$397=K$5),Sum!L516,0)</f>
        <v>0</v>
      </c>
      <c r="L135" s="13">
        <f>IF(AND(Sum!$F516="Yes",Sum!$G516="Cash",Sum!M$397=L$5),Sum!M516,0)</f>
        <v>0</v>
      </c>
      <c r="M135" s="13">
        <f>IF(AND(Sum!$F516="Yes",Sum!$G516="Cash",Sum!N$397=M$5),Sum!N516,0)</f>
        <v>0</v>
      </c>
      <c r="N135" s="13">
        <f>IF(AND(Sum!$F516="Yes",Sum!$G516="Cash",Sum!O$397=N$5),Sum!O516,0)</f>
        <v>0</v>
      </c>
      <c r="O135" s="13">
        <f>IF(AND(Sum!$F516="Yes",Sum!$G516="Cash",Sum!P$397=O$5),Sum!P516,0)</f>
        <v>0</v>
      </c>
      <c r="P135" s="13">
        <f>IF(AND(Sum!$F516="Yes",Sum!$G516="Cash",Sum!Q$397=P$5),Sum!Q516,0)</f>
        <v>0</v>
      </c>
      <c r="Q135" s="264" t="str">
        <f>IF(AND(Sum!$F516="Yes",Sum!$G516="Cash"),Sum!$E516,"")</f>
        <v/>
      </c>
    </row>
    <row r="136" spans="1:17" ht="12.75" customHeight="1" x14ac:dyDescent="0.25">
      <c r="A136" s="18"/>
      <c r="B136" s="13" t="str">
        <f>IF(AND(Sum!$F517="Yes",Sum!$G517="Cash"),Sum!$B517,"")</f>
        <v/>
      </c>
      <c r="C136" s="13"/>
      <c r="D136" s="13"/>
      <c r="E136" s="13"/>
      <c r="F136" s="13"/>
      <c r="G136" s="153">
        <f>IF(AND(Sum!$F517="Yes",Sum!$G517="Cash",Sum!H$397=G$5),Sum!H517,0)</f>
        <v>0</v>
      </c>
      <c r="H136" s="13">
        <f>IF(AND(Sum!$F517="Yes",Sum!$G517="Cash",Sum!I$397=H$5),Sum!I517,0)</f>
        <v>0</v>
      </c>
      <c r="I136" s="13">
        <f>IF(AND(Sum!$F517="Yes",Sum!$G517="Cash",Sum!J$397=I$5),Sum!J517,0)</f>
        <v>0</v>
      </c>
      <c r="J136" s="13">
        <f>IF(AND(Sum!$F517="Yes",Sum!$G517="Cash",Sum!K$397=J$5),Sum!K517,0)</f>
        <v>0</v>
      </c>
      <c r="K136" s="13">
        <f>IF(AND(Sum!$F517="Yes",Sum!$G517="Cash",Sum!L$397=K$5),Sum!L517,0)</f>
        <v>0</v>
      </c>
      <c r="L136" s="13">
        <f>IF(AND(Sum!$F517="Yes",Sum!$G517="Cash",Sum!M$397=L$5),Sum!M517,0)</f>
        <v>0</v>
      </c>
      <c r="M136" s="13">
        <f>IF(AND(Sum!$F517="Yes",Sum!$G517="Cash",Sum!N$397=M$5),Sum!N517,0)</f>
        <v>0</v>
      </c>
      <c r="N136" s="13">
        <f>IF(AND(Sum!$F517="Yes",Sum!$G517="Cash",Sum!O$397=N$5),Sum!O517,0)</f>
        <v>0</v>
      </c>
      <c r="O136" s="13">
        <f>IF(AND(Sum!$F517="Yes",Sum!$G517="Cash",Sum!P$397=O$5),Sum!P517,0)</f>
        <v>0</v>
      </c>
      <c r="P136" s="13">
        <f>IF(AND(Sum!$F517="Yes",Sum!$G517="Cash",Sum!Q$397=P$5),Sum!Q517,0)</f>
        <v>0</v>
      </c>
      <c r="Q136" s="264" t="str">
        <f>IF(AND(Sum!$F517="Yes",Sum!$G517="Cash"),Sum!$E517,"")</f>
        <v/>
      </c>
    </row>
    <row r="137" spans="1:17" ht="12.75" customHeight="1" x14ac:dyDescent="0.25">
      <c r="A137" s="18"/>
      <c r="B137" s="13" t="str">
        <f>IF(AND(Sum!$F518="Yes",Sum!$G518="Cash"),Sum!$B518,"")</f>
        <v/>
      </c>
      <c r="C137" s="13"/>
      <c r="D137" s="13"/>
      <c r="E137" s="13"/>
      <c r="F137" s="13"/>
      <c r="G137" s="153">
        <f>IF(AND(Sum!$F518="Yes",Sum!$G518="Cash",Sum!H$397=G$5),Sum!H518,0)</f>
        <v>0</v>
      </c>
      <c r="H137" s="13">
        <f>IF(AND(Sum!$F518="Yes",Sum!$G518="Cash",Sum!I$397=H$5),Sum!I518,0)</f>
        <v>0</v>
      </c>
      <c r="I137" s="13">
        <f>IF(AND(Sum!$F518="Yes",Sum!$G518="Cash",Sum!J$397=I$5),Sum!J518,0)</f>
        <v>0</v>
      </c>
      <c r="J137" s="13">
        <f>IF(AND(Sum!$F518="Yes",Sum!$G518="Cash",Sum!K$397=J$5),Sum!K518,0)</f>
        <v>0</v>
      </c>
      <c r="K137" s="13">
        <f>IF(AND(Sum!$F518="Yes",Sum!$G518="Cash",Sum!L$397=K$5),Sum!L518,0)</f>
        <v>0</v>
      </c>
      <c r="L137" s="13">
        <f>IF(AND(Sum!$F518="Yes",Sum!$G518="Cash",Sum!M$397=L$5),Sum!M518,0)</f>
        <v>0</v>
      </c>
      <c r="M137" s="13">
        <f>IF(AND(Sum!$F518="Yes",Sum!$G518="Cash",Sum!N$397=M$5),Sum!N518,0)</f>
        <v>0</v>
      </c>
      <c r="N137" s="13">
        <f>IF(AND(Sum!$F518="Yes",Sum!$G518="Cash",Sum!O$397=N$5),Sum!O518,0)</f>
        <v>0</v>
      </c>
      <c r="O137" s="13">
        <f>IF(AND(Sum!$F518="Yes",Sum!$G518="Cash",Sum!P$397=O$5),Sum!P518,0)</f>
        <v>0</v>
      </c>
      <c r="P137" s="13">
        <f>IF(AND(Sum!$F518="Yes",Sum!$G518="Cash",Sum!Q$397=P$5),Sum!Q518,0)</f>
        <v>0</v>
      </c>
      <c r="Q137" s="264" t="str">
        <f>IF(AND(Sum!$F518="Yes",Sum!$G518="Cash"),Sum!$E518,"")</f>
        <v/>
      </c>
    </row>
    <row r="138" spans="1:17" ht="12.75" customHeight="1" x14ac:dyDescent="0.25">
      <c r="A138" s="18"/>
      <c r="B138" s="13" t="str">
        <f>IF(AND(Sum!$F519="Yes",Sum!$G519="Cash"),Sum!$B519,"")</f>
        <v/>
      </c>
      <c r="C138" s="13"/>
      <c r="D138" s="13"/>
      <c r="E138" s="13"/>
      <c r="F138" s="13"/>
      <c r="G138" s="153">
        <f>IF(AND(Sum!$F519="Yes",Sum!$G519="Cash",Sum!H$397=G$5),Sum!H519,0)</f>
        <v>0</v>
      </c>
      <c r="H138" s="13">
        <f>IF(AND(Sum!$F519="Yes",Sum!$G519="Cash",Sum!I$397=H$5),Sum!I519,0)</f>
        <v>0</v>
      </c>
      <c r="I138" s="13">
        <f>IF(AND(Sum!$F519="Yes",Sum!$G519="Cash",Sum!J$397=I$5),Sum!J519,0)</f>
        <v>0</v>
      </c>
      <c r="J138" s="13">
        <f>IF(AND(Sum!$F519="Yes",Sum!$G519="Cash",Sum!K$397=J$5),Sum!K519,0)</f>
        <v>0</v>
      </c>
      <c r="K138" s="13">
        <f>IF(AND(Sum!$F519="Yes",Sum!$G519="Cash",Sum!L$397=K$5),Sum!L519,0)</f>
        <v>0</v>
      </c>
      <c r="L138" s="13">
        <f>IF(AND(Sum!$F519="Yes",Sum!$G519="Cash",Sum!M$397=L$5),Sum!M519,0)</f>
        <v>0</v>
      </c>
      <c r="M138" s="13">
        <f>IF(AND(Sum!$F519="Yes",Sum!$G519="Cash",Sum!N$397=M$5),Sum!N519,0)</f>
        <v>0</v>
      </c>
      <c r="N138" s="13">
        <f>IF(AND(Sum!$F519="Yes",Sum!$G519="Cash",Sum!O$397=N$5),Sum!O519,0)</f>
        <v>0</v>
      </c>
      <c r="O138" s="13">
        <f>IF(AND(Sum!$F519="Yes",Sum!$G519="Cash",Sum!P$397=O$5),Sum!P519,0)</f>
        <v>0</v>
      </c>
      <c r="P138" s="13">
        <f>IF(AND(Sum!$F519="Yes",Sum!$G519="Cash",Sum!Q$397=P$5),Sum!Q519,0)</f>
        <v>0</v>
      </c>
      <c r="Q138" s="264" t="str">
        <f>IF(AND(Sum!$F519="Yes",Sum!$G519="Cash"),Sum!$E519,"")</f>
        <v/>
      </c>
    </row>
    <row r="139" spans="1:17" ht="12.75" customHeight="1" x14ac:dyDescent="0.25">
      <c r="A139" s="18"/>
      <c r="B139" s="13" t="str">
        <f>IF(AND(Sum!$F520="Yes",Sum!$G520="Cash"),Sum!$B520,"")</f>
        <v/>
      </c>
      <c r="C139" s="13"/>
      <c r="D139" s="13"/>
      <c r="E139" s="13"/>
      <c r="F139" s="13"/>
      <c r="G139" s="153">
        <f>IF(AND(Sum!$F520="Yes",Sum!$G520="Cash",Sum!H$397=G$5),Sum!H520,0)</f>
        <v>0</v>
      </c>
      <c r="H139" s="13">
        <f>IF(AND(Sum!$F520="Yes",Sum!$G520="Cash",Sum!I$397=H$5),Sum!I520,0)</f>
        <v>0</v>
      </c>
      <c r="I139" s="13">
        <f>IF(AND(Sum!$F520="Yes",Sum!$G520="Cash",Sum!J$397=I$5),Sum!J520,0)</f>
        <v>0</v>
      </c>
      <c r="J139" s="13">
        <f>IF(AND(Sum!$F520="Yes",Sum!$G520="Cash",Sum!K$397=J$5),Sum!K520,0)</f>
        <v>0</v>
      </c>
      <c r="K139" s="13">
        <f>IF(AND(Sum!$F520="Yes",Sum!$G520="Cash",Sum!L$397=K$5),Sum!L520,0)</f>
        <v>0</v>
      </c>
      <c r="L139" s="13">
        <f>IF(AND(Sum!$F520="Yes",Sum!$G520="Cash",Sum!M$397=L$5),Sum!M520,0)</f>
        <v>0</v>
      </c>
      <c r="M139" s="13">
        <f>IF(AND(Sum!$F520="Yes",Sum!$G520="Cash",Sum!N$397=M$5),Sum!N520,0)</f>
        <v>0</v>
      </c>
      <c r="N139" s="13">
        <f>IF(AND(Sum!$F520="Yes",Sum!$G520="Cash",Sum!O$397=N$5),Sum!O520,0)</f>
        <v>0</v>
      </c>
      <c r="O139" s="13">
        <f>IF(AND(Sum!$F520="Yes",Sum!$G520="Cash",Sum!P$397=O$5),Sum!P520,0)</f>
        <v>0</v>
      </c>
      <c r="P139" s="13">
        <f>IF(AND(Sum!$F520="Yes",Sum!$G520="Cash",Sum!Q$397=P$5),Sum!Q520,0)</f>
        <v>0</v>
      </c>
      <c r="Q139" s="264" t="str">
        <f>IF(AND(Sum!$F520="Yes",Sum!$G520="Cash"),Sum!$E520,"")</f>
        <v/>
      </c>
    </row>
    <row r="140" spans="1:17" ht="12.75" customHeight="1" x14ac:dyDescent="0.25">
      <c r="A140" s="18"/>
      <c r="B140" s="13" t="str">
        <f>IF(AND(Sum!$F521="Yes",Sum!$G521="Cash"),Sum!$B521,"")</f>
        <v/>
      </c>
      <c r="C140" s="13"/>
      <c r="D140" s="13"/>
      <c r="E140" s="13"/>
      <c r="F140" s="13"/>
      <c r="G140" s="153">
        <f>IF(AND(Sum!$F521="Yes",Sum!$G521="Cash",Sum!H$397=G$5),Sum!H521,0)</f>
        <v>0</v>
      </c>
      <c r="H140" s="13">
        <f>IF(AND(Sum!$F521="Yes",Sum!$G521="Cash",Sum!I$397=H$5),Sum!I521,0)</f>
        <v>0</v>
      </c>
      <c r="I140" s="13">
        <f>IF(AND(Sum!$F521="Yes",Sum!$G521="Cash",Sum!J$397=I$5),Sum!J521,0)</f>
        <v>0</v>
      </c>
      <c r="J140" s="13">
        <f>IF(AND(Sum!$F521="Yes",Sum!$G521="Cash",Sum!K$397=J$5),Sum!K521,0)</f>
        <v>0</v>
      </c>
      <c r="K140" s="13">
        <f>IF(AND(Sum!$F521="Yes",Sum!$G521="Cash",Sum!L$397=K$5),Sum!L521,0)</f>
        <v>0</v>
      </c>
      <c r="L140" s="13">
        <f>IF(AND(Sum!$F521="Yes",Sum!$G521="Cash",Sum!M$397=L$5),Sum!M521,0)</f>
        <v>0</v>
      </c>
      <c r="M140" s="13">
        <f>IF(AND(Sum!$F521="Yes",Sum!$G521="Cash",Sum!N$397=M$5),Sum!N521,0)</f>
        <v>0</v>
      </c>
      <c r="N140" s="13">
        <f>IF(AND(Sum!$F521="Yes",Sum!$G521="Cash",Sum!O$397=N$5),Sum!O521,0)</f>
        <v>0</v>
      </c>
      <c r="O140" s="13">
        <f>IF(AND(Sum!$F521="Yes",Sum!$G521="Cash",Sum!P$397=O$5),Sum!P521,0)</f>
        <v>0</v>
      </c>
      <c r="P140" s="13">
        <f>IF(AND(Sum!$F521="Yes",Sum!$G521="Cash",Sum!Q$397=P$5),Sum!Q521,0)</f>
        <v>0</v>
      </c>
      <c r="Q140" s="264" t="str">
        <f>IF(AND(Sum!$F521="Yes",Sum!$G521="Cash"),Sum!$E521,"")</f>
        <v/>
      </c>
    </row>
    <row r="141" spans="1:17" ht="12.75" customHeight="1" x14ac:dyDescent="0.25">
      <c r="A141" s="18"/>
      <c r="B141" s="13" t="str">
        <f>IF(AND(Sum!$F522="Yes",Sum!$G522="Cash"),Sum!$B522,"")</f>
        <v/>
      </c>
      <c r="C141" s="13"/>
      <c r="D141" s="13"/>
      <c r="E141" s="13"/>
      <c r="F141" s="13"/>
      <c r="G141" s="153">
        <f>IF(AND(Sum!$F522="Yes",Sum!$G522="Cash",Sum!H$397=G$5),Sum!H522,0)</f>
        <v>0</v>
      </c>
      <c r="H141" s="13">
        <f>IF(AND(Sum!$F522="Yes",Sum!$G522="Cash",Sum!I$397=H$5),Sum!I522,0)</f>
        <v>0</v>
      </c>
      <c r="I141" s="13">
        <f>IF(AND(Sum!$F522="Yes",Sum!$G522="Cash",Sum!J$397=I$5),Sum!J522,0)</f>
        <v>0</v>
      </c>
      <c r="J141" s="13">
        <f>IF(AND(Sum!$F522="Yes",Sum!$G522="Cash",Sum!K$397=J$5),Sum!K522,0)</f>
        <v>0</v>
      </c>
      <c r="K141" s="13">
        <f>IF(AND(Sum!$F522="Yes",Sum!$G522="Cash",Sum!L$397=K$5),Sum!L522,0)</f>
        <v>0</v>
      </c>
      <c r="L141" s="13">
        <f>IF(AND(Sum!$F522="Yes",Sum!$G522="Cash",Sum!M$397=L$5),Sum!M522,0)</f>
        <v>0</v>
      </c>
      <c r="M141" s="13">
        <f>IF(AND(Sum!$F522="Yes",Sum!$G522="Cash",Sum!N$397=M$5),Sum!N522,0)</f>
        <v>0</v>
      </c>
      <c r="N141" s="13">
        <f>IF(AND(Sum!$F522="Yes",Sum!$G522="Cash",Sum!O$397=N$5),Sum!O522,0)</f>
        <v>0</v>
      </c>
      <c r="O141" s="13">
        <f>IF(AND(Sum!$F522="Yes",Sum!$G522="Cash",Sum!P$397=O$5),Sum!P522,0)</f>
        <v>0</v>
      </c>
      <c r="P141" s="13">
        <f>IF(AND(Sum!$F522="Yes",Sum!$G522="Cash",Sum!Q$397=P$5),Sum!Q522,0)</f>
        <v>0</v>
      </c>
      <c r="Q141" s="264" t="str">
        <f>IF(AND(Sum!$F522="Yes",Sum!$G522="Cash"),Sum!$E522,"")</f>
        <v/>
      </c>
    </row>
    <row r="142" spans="1:17" ht="12.75" customHeight="1" x14ac:dyDescent="0.25">
      <c r="A142" s="18"/>
      <c r="B142" s="13" t="str">
        <f>IF(AND(Sum!$F523="Yes",Sum!$G523="Cash"),Sum!$B523,"")</f>
        <v/>
      </c>
      <c r="C142" s="13"/>
      <c r="D142" s="13"/>
      <c r="E142" s="13"/>
      <c r="F142" s="13"/>
      <c r="G142" s="153">
        <f>IF(AND(Sum!$F523="Yes",Sum!$G523="Cash",Sum!H$397=G$5),Sum!H523,0)</f>
        <v>0</v>
      </c>
      <c r="H142" s="13">
        <f>IF(AND(Sum!$F523="Yes",Sum!$G523="Cash",Sum!I$397=H$5),Sum!I523,0)</f>
        <v>0</v>
      </c>
      <c r="I142" s="13">
        <f>IF(AND(Sum!$F523="Yes",Sum!$G523="Cash",Sum!J$397=I$5),Sum!J523,0)</f>
        <v>0</v>
      </c>
      <c r="J142" s="13">
        <f>IF(AND(Sum!$F523="Yes",Sum!$G523="Cash",Sum!K$397=J$5),Sum!K523,0)</f>
        <v>0</v>
      </c>
      <c r="K142" s="13">
        <f>IF(AND(Sum!$F523="Yes",Sum!$G523="Cash",Sum!L$397=K$5),Sum!L523,0)</f>
        <v>0</v>
      </c>
      <c r="L142" s="13">
        <f>IF(AND(Sum!$F523="Yes",Sum!$G523="Cash",Sum!M$397=L$5),Sum!M523,0)</f>
        <v>0</v>
      </c>
      <c r="M142" s="13">
        <f>IF(AND(Sum!$F523="Yes",Sum!$G523="Cash",Sum!N$397=M$5),Sum!N523,0)</f>
        <v>0</v>
      </c>
      <c r="N142" s="13">
        <f>IF(AND(Sum!$F523="Yes",Sum!$G523="Cash",Sum!O$397=N$5),Sum!O523,0)</f>
        <v>0</v>
      </c>
      <c r="O142" s="13">
        <f>IF(AND(Sum!$F523="Yes",Sum!$G523="Cash",Sum!P$397=O$5),Sum!P523,0)</f>
        <v>0</v>
      </c>
      <c r="P142" s="13">
        <f>IF(AND(Sum!$F523="Yes",Sum!$G523="Cash",Sum!Q$397=P$5),Sum!Q523,0)</f>
        <v>0</v>
      </c>
      <c r="Q142" s="264" t="str">
        <f>IF(AND(Sum!$F523="Yes",Sum!$G523="Cash"),Sum!$E523,"")</f>
        <v/>
      </c>
    </row>
    <row r="143" spans="1:17" ht="12.75" customHeight="1" x14ac:dyDescent="0.25">
      <c r="A143" s="18"/>
      <c r="B143" s="13" t="str">
        <f>IF(AND(Sum!$F524="Yes",Sum!$G524="Cash"),Sum!$B524,"")</f>
        <v/>
      </c>
      <c r="C143" s="13"/>
      <c r="D143" s="13"/>
      <c r="E143" s="13"/>
      <c r="F143" s="13"/>
      <c r="G143" s="153">
        <f>IF(AND(Sum!$F524="Yes",Sum!$G524="Cash",Sum!H$397=G$5),Sum!H524,0)</f>
        <v>0</v>
      </c>
      <c r="H143" s="13">
        <f>IF(AND(Sum!$F524="Yes",Sum!$G524="Cash",Sum!I$397=H$5),Sum!I524,0)</f>
        <v>0</v>
      </c>
      <c r="I143" s="13">
        <f>IF(AND(Sum!$F524="Yes",Sum!$G524="Cash",Sum!J$397=I$5),Sum!J524,0)</f>
        <v>0</v>
      </c>
      <c r="J143" s="13">
        <f>IF(AND(Sum!$F524="Yes",Sum!$G524="Cash",Sum!K$397=J$5),Sum!K524,0)</f>
        <v>0</v>
      </c>
      <c r="K143" s="13">
        <f>IF(AND(Sum!$F524="Yes",Sum!$G524="Cash",Sum!L$397=K$5),Sum!L524,0)</f>
        <v>0</v>
      </c>
      <c r="L143" s="13">
        <f>IF(AND(Sum!$F524="Yes",Sum!$G524="Cash",Sum!M$397=L$5),Sum!M524,0)</f>
        <v>0</v>
      </c>
      <c r="M143" s="13">
        <f>IF(AND(Sum!$F524="Yes",Sum!$G524="Cash",Sum!N$397=M$5),Sum!N524,0)</f>
        <v>0</v>
      </c>
      <c r="N143" s="13">
        <f>IF(AND(Sum!$F524="Yes",Sum!$G524="Cash",Sum!O$397=N$5),Sum!O524,0)</f>
        <v>0</v>
      </c>
      <c r="O143" s="13">
        <f>IF(AND(Sum!$F524="Yes",Sum!$G524="Cash",Sum!P$397=O$5),Sum!P524,0)</f>
        <v>0</v>
      </c>
      <c r="P143" s="13">
        <f>IF(AND(Sum!$F524="Yes",Sum!$G524="Cash",Sum!Q$397=P$5),Sum!Q524,0)</f>
        <v>0</v>
      </c>
      <c r="Q143" s="264" t="str">
        <f>IF(AND(Sum!$F524="Yes",Sum!$G524="Cash"),Sum!$E524,"")</f>
        <v/>
      </c>
    </row>
    <row r="144" spans="1:17" ht="12.75" customHeight="1" x14ac:dyDescent="0.25">
      <c r="A144" s="18"/>
      <c r="B144" s="13" t="str">
        <f>IF(AND(Sum!$F525="Yes",Sum!$G525="Cash"),Sum!$B525,"")</f>
        <v/>
      </c>
      <c r="C144" s="13"/>
      <c r="D144" s="13"/>
      <c r="E144" s="13"/>
      <c r="F144" s="13"/>
      <c r="G144" s="153">
        <f>IF(AND(Sum!$F525="Yes",Sum!$G525="Cash",Sum!H$397=G$5),Sum!H525,0)</f>
        <v>0</v>
      </c>
      <c r="H144" s="13">
        <f>IF(AND(Sum!$F525="Yes",Sum!$G525="Cash",Sum!I$397=H$5),Sum!I525,0)</f>
        <v>0</v>
      </c>
      <c r="I144" s="13">
        <f>IF(AND(Sum!$F525="Yes",Sum!$G525="Cash",Sum!J$397=I$5),Sum!J525,0)</f>
        <v>0</v>
      </c>
      <c r="J144" s="13">
        <f>IF(AND(Sum!$F525="Yes",Sum!$G525="Cash",Sum!K$397=J$5),Sum!K525,0)</f>
        <v>0</v>
      </c>
      <c r="K144" s="13">
        <f>IF(AND(Sum!$F525="Yes",Sum!$G525="Cash",Sum!L$397=K$5),Sum!L525,0)</f>
        <v>0</v>
      </c>
      <c r="L144" s="13">
        <f>IF(AND(Sum!$F525="Yes",Sum!$G525="Cash",Sum!M$397=L$5),Sum!M525,0)</f>
        <v>0</v>
      </c>
      <c r="M144" s="13">
        <f>IF(AND(Sum!$F525="Yes",Sum!$G525="Cash",Sum!N$397=M$5),Sum!N525,0)</f>
        <v>0</v>
      </c>
      <c r="N144" s="13">
        <f>IF(AND(Sum!$F525="Yes",Sum!$G525="Cash",Sum!O$397=N$5),Sum!O525,0)</f>
        <v>0</v>
      </c>
      <c r="O144" s="13">
        <f>IF(AND(Sum!$F525="Yes",Sum!$G525="Cash",Sum!P$397=O$5),Sum!P525,0)</f>
        <v>0</v>
      </c>
      <c r="P144" s="13">
        <f>IF(AND(Sum!$F525="Yes",Sum!$G525="Cash",Sum!Q$397=P$5),Sum!Q525,0)</f>
        <v>0</v>
      </c>
      <c r="Q144" s="264" t="str">
        <f>IF(AND(Sum!$F525="Yes",Sum!$G525="Cash"),Sum!$E525,"")</f>
        <v/>
      </c>
    </row>
    <row r="145" spans="1:17" ht="12.75" customHeight="1" x14ac:dyDescent="0.25">
      <c r="A145" s="18"/>
      <c r="B145" s="13" t="str">
        <f>IF(AND(Sum!$F526="Yes",Sum!$G526="Cash"),Sum!$B526,"")</f>
        <v/>
      </c>
      <c r="C145" s="13"/>
      <c r="D145" s="13"/>
      <c r="E145" s="13"/>
      <c r="F145" s="13"/>
      <c r="G145" s="153">
        <f>IF(AND(Sum!$F526="Yes",Sum!$G526="Cash",Sum!H$397=G$5),Sum!H526,0)</f>
        <v>0</v>
      </c>
      <c r="H145" s="13">
        <f>IF(AND(Sum!$F526="Yes",Sum!$G526="Cash",Sum!I$397=H$5),Sum!I526,0)</f>
        <v>0</v>
      </c>
      <c r="I145" s="13">
        <f>IF(AND(Sum!$F526="Yes",Sum!$G526="Cash",Sum!J$397=I$5),Sum!J526,0)</f>
        <v>0</v>
      </c>
      <c r="J145" s="13">
        <f>IF(AND(Sum!$F526="Yes",Sum!$G526="Cash",Sum!K$397=J$5),Sum!K526,0)</f>
        <v>0</v>
      </c>
      <c r="K145" s="13">
        <f>IF(AND(Sum!$F526="Yes",Sum!$G526="Cash",Sum!L$397=K$5),Sum!L526,0)</f>
        <v>0</v>
      </c>
      <c r="L145" s="13">
        <f>IF(AND(Sum!$F526="Yes",Sum!$G526="Cash",Sum!M$397=L$5),Sum!M526,0)</f>
        <v>0</v>
      </c>
      <c r="M145" s="13">
        <f>IF(AND(Sum!$F526="Yes",Sum!$G526="Cash",Sum!N$397=M$5),Sum!N526,0)</f>
        <v>0</v>
      </c>
      <c r="N145" s="13">
        <f>IF(AND(Sum!$F526="Yes",Sum!$G526="Cash",Sum!O$397=N$5),Sum!O526,0)</f>
        <v>0</v>
      </c>
      <c r="O145" s="13">
        <f>IF(AND(Sum!$F526="Yes",Sum!$G526="Cash",Sum!P$397=O$5),Sum!P526,0)</f>
        <v>0</v>
      </c>
      <c r="P145" s="13">
        <f>IF(AND(Sum!$F526="Yes",Sum!$G526="Cash",Sum!Q$397=P$5),Sum!Q526,0)</f>
        <v>0</v>
      </c>
      <c r="Q145" s="264" t="str">
        <f>IF(AND(Sum!$F526="Yes",Sum!$G526="Cash"),Sum!$E526,"")</f>
        <v/>
      </c>
    </row>
    <row r="146" spans="1:17" ht="12.75" customHeight="1" x14ac:dyDescent="0.25">
      <c r="A146" s="18"/>
      <c r="B146" s="13" t="str">
        <f>IF(AND(Sum!$F527="Yes",Sum!$G527="Cash"),Sum!$B527,"")</f>
        <v/>
      </c>
      <c r="C146" s="13"/>
      <c r="D146" s="13"/>
      <c r="E146" s="13"/>
      <c r="F146" s="13"/>
      <c r="G146" s="153">
        <f>IF(AND(Sum!$F527="Yes",Sum!$G527="Cash",Sum!H$397=G$5),Sum!H527,0)</f>
        <v>0</v>
      </c>
      <c r="H146" s="13">
        <f>IF(AND(Sum!$F527="Yes",Sum!$G527="Cash",Sum!I$397=H$5),Sum!I527,0)</f>
        <v>0</v>
      </c>
      <c r="I146" s="13">
        <f>IF(AND(Sum!$F527="Yes",Sum!$G527="Cash",Sum!J$397=I$5),Sum!J527,0)</f>
        <v>0</v>
      </c>
      <c r="J146" s="13">
        <f>IF(AND(Sum!$F527="Yes",Sum!$G527="Cash",Sum!K$397=J$5),Sum!K527,0)</f>
        <v>0</v>
      </c>
      <c r="K146" s="13">
        <f>IF(AND(Sum!$F527="Yes",Sum!$G527="Cash",Sum!L$397=K$5),Sum!L527,0)</f>
        <v>0</v>
      </c>
      <c r="L146" s="13">
        <f>IF(AND(Sum!$F527="Yes",Sum!$G527="Cash",Sum!M$397=L$5),Sum!M527,0)</f>
        <v>0</v>
      </c>
      <c r="M146" s="13">
        <f>IF(AND(Sum!$F527="Yes",Sum!$G527="Cash",Sum!N$397=M$5),Sum!N527,0)</f>
        <v>0</v>
      </c>
      <c r="N146" s="13">
        <f>IF(AND(Sum!$F527="Yes",Sum!$G527="Cash",Sum!O$397=N$5),Sum!O527,0)</f>
        <v>0</v>
      </c>
      <c r="O146" s="13">
        <f>IF(AND(Sum!$F527="Yes",Sum!$G527="Cash",Sum!P$397=O$5),Sum!P527,0)</f>
        <v>0</v>
      </c>
      <c r="P146" s="13">
        <f>IF(AND(Sum!$F527="Yes",Sum!$G527="Cash",Sum!Q$397=P$5),Sum!Q527,0)</f>
        <v>0</v>
      </c>
      <c r="Q146" s="264" t="str">
        <f>IF(AND(Sum!$F527="Yes",Sum!$G527="Cash"),Sum!$E527,"")</f>
        <v/>
      </c>
    </row>
    <row r="147" spans="1:17" ht="12.75" customHeight="1" x14ac:dyDescent="0.25">
      <c r="A147" s="18"/>
      <c r="B147" s="13" t="str">
        <f>IF(AND(Sum!$F528="Yes",Sum!$G528="Cash"),Sum!$B528,"")</f>
        <v/>
      </c>
      <c r="C147" s="13"/>
      <c r="D147" s="13"/>
      <c r="E147" s="13"/>
      <c r="F147" s="13"/>
      <c r="G147" s="153">
        <f>IF(AND(Sum!$F528="Yes",Sum!$G528="Cash",Sum!H$397=G$5),Sum!H528,0)</f>
        <v>0</v>
      </c>
      <c r="H147" s="13">
        <f>IF(AND(Sum!$F528="Yes",Sum!$G528="Cash",Sum!I$397=H$5),Sum!I528,0)</f>
        <v>0</v>
      </c>
      <c r="I147" s="13">
        <f>IF(AND(Sum!$F528="Yes",Sum!$G528="Cash",Sum!J$397=I$5),Sum!J528,0)</f>
        <v>0</v>
      </c>
      <c r="J147" s="13">
        <f>IF(AND(Sum!$F528="Yes",Sum!$G528="Cash",Sum!K$397=J$5),Sum!K528,0)</f>
        <v>0</v>
      </c>
      <c r="K147" s="13">
        <f>IF(AND(Sum!$F528="Yes",Sum!$G528="Cash",Sum!L$397=K$5),Sum!L528,0)</f>
        <v>0</v>
      </c>
      <c r="L147" s="13">
        <f>IF(AND(Sum!$F528="Yes",Sum!$G528="Cash",Sum!M$397=L$5),Sum!M528,0)</f>
        <v>0</v>
      </c>
      <c r="M147" s="13">
        <f>IF(AND(Sum!$F528="Yes",Sum!$G528="Cash",Sum!N$397=M$5),Sum!N528,0)</f>
        <v>0</v>
      </c>
      <c r="N147" s="13">
        <f>IF(AND(Sum!$F528="Yes",Sum!$G528="Cash",Sum!O$397=N$5),Sum!O528,0)</f>
        <v>0</v>
      </c>
      <c r="O147" s="13">
        <f>IF(AND(Sum!$F528="Yes",Sum!$G528="Cash",Sum!P$397=O$5),Sum!P528,0)</f>
        <v>0</v>
      </c>
      <c r="P147" s="13">
        <f>IF(AND(Sum!$F528="Yes",Sum!$G528="Cash",Sum!Q$397=P$5),Sum!Q528,0)</f>
        <v>0</v>
      </c>
      <c r="Q147" s="264" t="str">
        <f>IF(AND(Sum!$F528="Yes",Sum!$G528="Cash"),Sum!$E528,"")</f>
        <v/>
      </c>
    </row>
    <row r="148" spans="1:17" ht="12.75" customHeight="1" x14ac:dyDescent="0.25">
      <c r="A148" s="18"/>
      <c r="B148" s="13" t="str">
        <f>IF(AND(Sum!$F529="Yes",Sum!$G529="Cash"),Sum!$B529,"")</f>
        <v/>
      </c>
      <c r="C148" s="13"/>
      <c r="D148" s="13"/>
      <c r="E148" s="13"/>
      <c r="F148" s="13"/>
      <c r="G148" s="153">
        <f>IF(AND(Sum!$F529="Yes",Sum!$G529="Cash",Sum!H$397=G$5),Sum!H529,0)</f>
        <v>0</v>
      </c>
      <c r="H148" s="13">
        <f>IF(AND(Sum!$F529="Yes",Sum!$G529="Cash",Sum!I$397=H$5),Sum!I529,0)</f>
        <v>0</v>
      </c>
      <c r="I148" s="13">
        <f>IF(AND(Sum!$F529="Yes",Sum!$G529="Cash",Sum!J$397=I$5),Sum!J529,0)</f>
        <v>0</v>
      </c>
      <c r="J148" s="13">
        <f>IF(AND(Sum!$F529="Yes",Sum!$G529="Cash",Sum!K$397=J$5),Sum!K529,0)</f>
        <v>0</v>
      </c>
      <c r="K148" s="13">
        <f>IF(AND(Sum!$F529="Yes",Sum!$G529="Cash",Sum!L$397=K$5),Sum!L529,0)</f>
        <v>0</v>
      </c>
      <c r="L148" s="13">
        <f>IF(AND(Sum!$F529="Yes",Sum!$G529="Cash",Sum!M$397=L$5),Sum!M529,0)</f>
        <v>0</v>
      </c>
      <c r="M148" s="13">
        <f>IF(AND(Sum!$F529="Yes",Sum!$G529="Cash",Sum!N$397=M$5),Sum!N529,0)</f>
        <v>0</v>
      </c>
      <c r="N148" s="13">
        <f>IF(AND(Sum!$F529="Yes",Sum!$G529="Cash",Sum!O$397=N$5),Sum!O529,0)</f>
        <v>0</v>
      </c>
      <c r="O148" s="13">
        <f>IF(AND(Sum!$F529="Yes",Sum!$G529="Cash",Sum!P$397=O$5),Sum!P529,0)</f>
        <v>0</v>
      </c>
      <c r="P148" s="13">
        <f>IF(AND(Sum!$F529="Yes",Sum!$G529="Cash",Sum!Q$397=P$5),Sum!Q529,0)</f>
        <v>0</v>
      </c>
      <c r="Q148" s="264" t="str">
        <f>IF(AND(Sum!$F529="Yes",Sum!$G529="Cash"),Sum!$E529,"")</f>
        <v/>
      </c>
    </row>
    <row r="149" spans="1:17" ht="12.75" customHeight="1" x14ac:dyDescent="0.25">
      <c r="A149" s="18"/>
      <c r="B149" s="13" t="str">
        <f>IF(AND(Sum!$F530="Yes",Sum!$G530="Cash"),Sum!$B530,"")</f>
        <v/>
      </c>
      <c r="C149" s="13"/>
      <c r="D149" s="13"/>
      <c r="E149" s="13"/>
      <c r="F149" s="13"/>
      <c r="G149" s="153">
        <f>IF(AND(Sum!$F530="Yes",Sum!$G530="Cash",Sum!H$397=G$5),Sum!H530,0)</f>
        <v>0</v>
      </c>
      <c r="H149" s="13">
        <f>IF(AND(Sum!$F530="Yes",Sum!$G530="Cash",Sum!I$397=H$5),Sum!I530,0)</f>
        <v>0</v>
      </c>
      <c r="I149" s="13">
        <f>IF(AND(Sum!$F530="Yes",Sum!$G530="Cash",Sum!J$397=I$5),Sum!J530,0)</f>
        <v>0</v>
      </c>
      <c r="J149" s="13">
        <f>IF(AND(Sum!$F530="Yes",Sum!$G530="Cash",Sum!K$397=J$5),Sum!K530,0)</f>
        <v>0</v>
      </c>
      <c r="K149" s="13">
        <f>IF(AND(Sum!$F530="Yes",Sum!$G530="Cash",Sum!L$397=K$5),Sum!L530,0)</f>
        <v>0</v>
      </c>
      <c r="L149" s="13">
        <f>IF(AND(Sum!$F530="Yes",Sum!$G530="Cash",Sum!M$397=L$5),Sum!M530,0)</f>
        <v>0</v>
      </c>
      <c r="M149" s="13">
        <f>IF(AND(Sum!$F530="Yes",Sum!$G530="Cash",Sum!N$397=M$5),Sum!N530,0)</f>
        <v>0</v>
      </c>
      <c r="N149" s="13">
        <f>IF(AND(Sum!$F530="Yes",Sum!$G530="Cash",Sum!O$397=N$5),Sum!O530,0)</f>
        <v>0</v>
      </c>
      <c r="O149" s="13">
        <f>IF(AND(Sum!$F530="Yes",Sum!$G530="Cash",Sum!P$397=O$5),Sum!P530,0)</f>
        <v>0</v>
      </c>
      <c r="P149" s="13">
        <f>IF(AND(Sum!$F530="Yes",Sum!$G530="Cash",Sum!Q$397=P$5),Sum!Q530,0)</f>
        <v>0</v>
      </c>
      <c r="Q149" s="264" t="str">
        <f>IF(AND(Sum!$F530="Yes",Sum!$G530="Cash"),Sum!$E530,"")</f>
        <v/>
      </c>
    </row>
    <row r="150" spans="1:17" ht="12.75" customHeight="1" x14ac:dyDescent="0.25">
      <c r="A150" s="18"/>
      <c r="B150" s="13" t="str">
        <f>IF(AND(Sum!$F531="Yes",Sum!$G531="Cash"),Sum!$B531,"")</f>
        <v/>
      </c>
      <c r="C150" s="13"/>
      <c r="D150" s="13"/>
      <c r="E150" s="13"/>
      <c r="F150" s="13"/>
      <c r="G150" s="153">
        <f>IF(AND(Sum!$F531="Yes",Sum!$G531="Cash",Sum!H$397=G$5),Sum!H531,0)</f>
        <v>0</v>
      </c>
      <c r="H150" s="13">
        <f>IF(AND(Sum!$F531="Yes",Sum!$G531="Cash",Sum!I$397=H$5),Sum!I531,0)</f>
        <v>0</v>
      </c>
      <c r="I150" s="13">
        <f>IF(AND(Sum!$F531="Yes",Sum!$G531="Cash",Sum!J$397=I$5),Sum!J531,0)</f>
        <v>0</v>
      </c>
      <c r="J150" s="13">
        <f>IF(AND(Sum!$F531="Yes",Sum!$G531="Cash",Sum!K$397=J$5),Sum!K531,0)</f>
        <v>0</v>
      </c>
      <c r="K150" s="13">
        <f>IF(AND(Sum!$F531="Yes",Sum!$G531="Cash",Sum!L$397=K$5),Sum!L531,0)</f>
        <v>0</v>
      </c>
      <c r="L150" s="13">
        <f>IF(AND(Sum!$F531="Yes",Sum!$G531="Cash",Sum!M$397=L$5),Sum!M531,0)</f>
        <v>0</v>
      </c>
      <c r="M150" s="13">
        <f>IF(AND(Sum!$F531="Yes",Sum!$G531="Cash",Sum!N$397=M$5),Sum!N531,0)</f>
        <v>0</v>
      </c>
      <c r="N150" s="13">
        <f>IF(AND(Sum!$F531="Yes",Sum!$G531="Cash",Sum!O$397=N$5),Sum!O531,0)</f>
        <v>0</v>
      </c>
      <c r="O150" s="13">
        <f>IF(AND(Sum!$F531="Yes",Sum!$G531="Cash",Sum!P$397=O$5),Sum!P531,0)</f>
        <v>0</v>
      </c>
      <c r="P150" s="13">
        <f>IF(AND(Sum!$F531="Yes",Sum!$G531="Cash",Sum!Q$397=P$5),Sum!Q531,0)</f>
        <v>0</v>
      </c>
      <c r="Q150" s="264" t="str">
        <f>IF(AND(Sum!$F531="Yes",Sum!$G531="Cash"),Sum!$E531,"")</f>
        <v/>
      </c>
    </row>
    <row r="151" spans="1:17" ht="12.75" customHeight="1" x14ac:dyDescent="0.25">
      <c r="A151" s="18"/>
      <c r="B151" s="13" t="str">
        <f>IF(AND(Sum!$F532="Yes",Sum!$G532="Cash"),Sum!$B532,"")</f>
        <v/>
      </c>
      <c r="C151" s="13"/>
      <c r="D151" s="13"/>
      <c r="E151" s="13"/>
      <c r="F151" s="13"/>
      <c r="G151" s="153">
        <f>IF(AND(Sum!$F532="Yes",Sum!$G532="Cash",Sum!H$397=G$5),Sum!H532,0)</f>
        <v>0</v>
      </c>
      <c r="H151" s="13">
        <f>IF(AND(Sum!$F532="Yes",Sum!$G532="Cash",Sum!I$397=H$5),Sum!I532,0)</f>
        <v>0</v>
      </c>
      <c r="I151" s="13">
        <f>IF(AND(Sum!$F532="Yes",Sum!$G532="Cash",Sum!J$397=I$5),Sum!J532,0)</f>
        <v>0</v>
      </c>
      <c r="J151" s="13">
        <f>IF(AND(Sum!$F532="Yes",Sum!$G532="Cash",Sum!K$397=J$5),Sum!K532,0)</f>
        <v>0</v>
      </c>
      <c r="K151" s="13">
        <f>IF(AND(Sum!$F532="Yes",Sum!$G532="Cash",Sum!L$397=K$5),Sum!L532,0)</f>
        <v>0</v>
      </c>
      <c r="L151" s="13">
        <f>IF(AND(Sum!$F532="Yes",Sum!$G532="Cash",Sum!M$397=L$5),Sum!M532,0)</f>
        <v>0</v>
      </c>
      <c r="M151" s="13">
        <f>IF(AND(Sum!$F532="Yes",Sum!$G532="Cash",Sum!N$397=M$5),Sum!N532,0)</f>
        <v>0</v>
      </c>
      <c r="N151" s="13">
        <f>IF(AND(Sum!$F532="Yes",Sum!$G532="Cash",Sum!O$397=N$5),Sum!O532,0)</f>
        <v>0</v>
      </c>
      <c r="O151" s="13">
        <f>IF(AND(Sum!$F532="Yes",Sum!$G532="Cash",Sum!P$397=O$5),Sum!P532,0)</f>
        <v>0</v>
      </c>
      <c r="P151" s="13">
        <f>IF(AND(Sum!$F532="Yes",Sum!$G532="Cash",Sum!Q$397=P$5),Sum!Q532,0)</f>
        <v>0</v>
      </c>
      <c r="Q151" s="264" t="str">
        <f>IF(AND(Sum!$F532="Yes",Sum!$G532="Cash"),Sum!$E532,"")</f>
        <v/>
      </c>
    </row>
    <row r="152" spans="1:17" ht="12.75" customHeight="1" x14ac:dyDescent="0.25">
      <c r="A152" s="18"/>
      <c r="B152" s="13" t="str">
        <f>IF(AND(Sum!$F533="Yes",Sum!$G533="Cash"),Sum!$B533,"")</f>
        <v/>
      </c>
      <c r="C152" s="13"/>
      <c r="D152" s="13"/>
      <c r="E152" s="13"/>
      <c r="F152" s="13"/>
      <c r="G152" s="153">
        <f>IF(AND(Sum!$F533="Yes",Sum!$G533="Cash",Sum!H$397=G$5),Sum!H533,0)</f>
        <v>0</v>
      </c>
      <c r="H152" s="13">
        <f>IF(AND(Sum!$F533="Yes",Sum!$G533="Cash",Sum!I$397=H$5),Sum!I533,0)</f>
        <v>0</v>
      </c>
      <c r="I152" s="13">
        <f>IF(AND(Sum!$F533="Yes",Sum!$G533="Cash",Sum!J$397=I$5),Sum!J533,0)</f>
        <v>0</v>
      </c>
      <c r="J152" s="13">
        <f>IF(AND(Sum!$F533="Yes",Sum!$G533="Cash",Sum!K$397=J$5),Sum!K533,0)</f>
        <v>0</v>
      </c>
      <c r="K152" s="13">
        <f>IF(AND(Sum!$F533="Yes",Sum!$G533="Cash",Sum!L$397=K$5),Sum!L533,0)</f>
        <v>0</v>
      </c>
      <c r="L152" s="13">
        <f>IF(AND(Sum!$F533="Yes",Sum!$G533="Cash",Sum!M$397=L$5),Sum!M533,0)</f>
        <v>0</v>
      </c>
      <c r="M152" s="13">
        <f>IF(AND(Sum!$F533="Yes",Sum!$G533="Cash",Sum!N$397=M$5),Sum!N533,0)</f>
        <v>0</v>
      </c>
      <c r="N152" s="13">
        <f>IF(AND(Sum!$F533="Yes",Sum!$G533="Cash",Sum!O$397=N$5),Sum!O533,0)</f>
        <v>0</v>
      </c>
      <c r="O152" s="13">
        <f>IF(AND(Sum!$F533="Yes",Sum!$G533="Cash",Sum!P$397=O$5),Sum!P533,0)</f>
        <v>0</v>
      </c>
      <c r="P152" s="13">
        <f>IF(AND(Sum!$F533="Yes",Sum!$G533="Cash",Sum!Q$397=P$5),Sum!Q533,0)</f>
        <v>0</v>
      </c>
      <c r="Q152" s="264" t="str">
        <f>IF(AND(Sum!$F533="Yes",Sum!$G533="Cash"),Sum!$E533,"")</f>
        <v/>
      </c>
    </row>
    <row r="153" spans="1:17" ht="12.75" customHeight="1" x14ac:dyDescent="0.25">
      <c r="A153" s="18"/>
      <c r="B153" s="13" t="str">
        <f>IF(AND(Sum!$F534="Yes",Sum!$G534="Cash"),Sum!$B534,"")</f>
        <v/>
      </c>
      <c r="C153" s="13"/>
      <c r="D153" s="13"/>
      <c r="E153" s="13"/>
      <c r="F153" s="13"/>
      <c r="G153" s="153">
        <f>IF(AND(Sum!$F534="Yes",Sum!$G534="Cash",Sum!H$397=G$5),Sum!H534,0)</f>
        <v>0</v>
      </c>
      <c r="H153" s="13">
        <f>IF(AND(Sum!$F534="Yes",Sum!$G534="Cash",Sum!I$397=H$5),Sum!I534,0)</f>
        <v>0</v>
      </c>
      <c r="I153" s="13">
        <f>IF(AND(Sum!$F534="Yes",Sum!$G534="Cash",Sum!J$397=I$5),Sum!J534,0)</f>
        <v>0</v>
      </c>
      <c r="J153" s="13">
        <f>IF(AND(Sum!$F534="Yes",Sum!$G534="Cash",Sum!K$397=J$5),Sum!K534,0)</f>
        <v>0</v>
      </c>
      <c r="K153" s="13">
        <f>IF(AND(Sum!$F534="Yes",Sum!$G534="Cash",Sum!L$397=K$5),Sum!L534,0)</f>
        <v>0</v>
      </c>
      <c r="L153" s="13">
        <f>IF(AND(Sum!$F534="Yes",Sum!$G534="Cash",Sum!M$397=L$5),Sum!M534,0)</f>
        <v>0</v>
      </c>
      <c r="M153" s="13">
        <f>IF(AND(Sum!$F534="Yes",Sum!$G534="Cash",Sum!N$397=M$5),Sum!N534,0)</f>
        <v>0</v>
      </c>
      <c r="N153" s="13">
        <f>IF(AND(Sum!$F534="Yes",Sum!$G534="Cash",Sum!O$397=N$5),Sum!O534,0)</f>
        <v>0</v>
      </c>
      <c r="O153" s="13">
        <f>IF(AND(Sum!$F534="Yes",Sum!$G534="Cash",Sum!P$397=O$5),Sum!P534,0)</f>
        <v>0</v>
      </c>
      <c r="P153" s="13">
        <f>IF(AND(Sum!$F534="Yes",Sum!$G534="Cash",Sum!Q$397=P$5),Sum!Q534,0)</f>
        <v>0</v>
      </c>
      <c r="Q153" s="264" t="str">
        <f>IF(AND(Sum!$F534="Yes",Sum!$G534="Cash"),Sum!$E534,"")</f>
        <v/>
      </c>
    </row>
    <row r="154" spans="1:17" ht="12.75" customHeight="1" x14ac:dyDescent="0.25">
      <c r="A154" s="18"/>
      <c r="B154" s="13" t="str">
        <f>IF(AND(Sum!$F535="Yes",Sum!$G535="Cash"),Sum!$B535,"")</f>
        <v/>
      </c>
      <c r="C154" s="13"/>
      <c r="D154" s="13"/>
      <c r="E154" s="13"/>
      <c r="F154" s="13"/>
      <c r="G154" s="153">
        <f>IF(AND(Sum!$F535="Yes",Sum!$G535="Cash",Sum!H$397=G$5),Sum!H535,0)</f>
        <v>0</v>
      </c>
      <c r="H154" s="13">
        <f>IF(AND(Sum!$F535="Yes",Sum!$G535="Cash",Sum!I$397=H$5),Sum!I535,0)</f>
        <v>0</v>
      </c>
      <c r="I154" s="13">
        <f>IF(AND(Sum!$F535="Yes",Sum!$G535="Cash",Sum!J$397=I$5),Sum!J535,0)</f>
        <v>0</v>
      </c>
      <c r="J154" s="13">
        <f>IF(AND(Sum!$F535="Yes",Sum!$G535="Cash",Sum!K$397=J$5),Sum!K535,0)</f>
        <v>0</v>
      </c>
      <c r="K154" s="13">
        <f>IF(AND(Sum!$F535="Yes",Sum!$G535="Cash",Sum!L$397=K$5),Sum!L535,0)</f>
        <v>0</v>
      </c>
      <c r="L154" s="13">
        <f>IF(AND(Sum!$F535="Yes",Sum!$G535="Cash",Sum!M$397=L$5),Sum!M535,0)</f>
        <v>0</v>
      </c>
      <c r="M154" s="13">
        <f>IF(AND(Sum!$F535="Yes",Sum!$G535="Cash",Sum!N$397=M$5),Sum!N535,0)</f>
        <v>0</v>
      </c>
      <c r="N154" s="13">
        <f>IF(AND(Sum!$F535="Yes",Sum!$G535="Cash",Sum!O$397=N$5),Sum!O535,0)</f>
        <v>0</v>
      </c>
      <c r="O154" s="13">
        <f>IF(AND(Sum!$F535="Yes",Sum!$G535="Cash",Sum!P$397=O$5),Sum!P535,0)</f>
        <v>0</v>
      </c>
      <c r="P154" s="13">
        <f>IF(AND(Sum!$F535="Yes",Sum!$G535="Cash",Sum!Q$397=P$5),Sum!Q535,0)</f>
        <v>0</v>
      </c>
      <c r="Q154" s="264" t="str">
        <f>IF(AND(Sum!$F535="Yes",Sum!$G535="Cash"),Sum!$E535,"")</f>
        <v/>
      </c>
    </row>
    <row r="155" spans="1:17" ht="12.75" customHeight="1" x14ac:dyDescent="0.25">
      <c r="A155" s="18"/>
      <c r="B155" s="13" t="str">
        <f>IF(AND(Sum!$F536="Yes",Sum!$G536="Cash"),Sum!$B536,"")</f>
        <v/>
      </c>
      <c r="C155" s="13"/>
      <c r="D155" s="13"/>
      <c r="E155" s="13"/>
      <c r="F155" s="13"/>
      <c r="G155" s="153">
        <f>IF(AND(Sum!$F536="Yes",Sum!$G536="Cash",Sum!H$397=G$5),Sum!H536,0)</f>
        <v>0</v>
      </c>
      <c r="H155" s="13">
        <f>IF(AND(Sum!$F536="Yes",Sum!$G536="Cash",Sum!I$397=H$5),Sum!I536,0)</f>
        <v>0</v>
      </c>
      <c r="I155" s="13">
        <f>IF(AND(Sum!$F536="Yes",Sum!$G536="Cash",Sum!J$397=I$5),Sum!J536,0)</f>
        <v>0</v>
      </c>
      <c r="J155" s="13">
        <f>IF(AND(Sum!$F536="Yes",Sum!$G536="Cash",Sum!K$397=J$5),Sum!K536,0)</f>
        <v>0</v>
      </c>
      <c r="K155" s="13">
        <f>IF(AND(Sum!$F536="Yes",Sum!$G536="Cash",Sum!L$397=K$5),Sum!L536,0)</f>
        <v>0</v>
      </c>
      <c r="L155" s="13">
        <f>IF(AND(Sum!$F536="Yes",Sum!$G536="Cash",Sum!M$397=L$5),Sum!M536,0)</f>
        <v>0</v>
      </c>
      <c r="M155" s="13">
        <f>IF(AND(Sum!$F536="Yes",Sum!$G536="Cash",Sum!N$397=M$5),Sum!N536,0)</f>
        <v>0</v>
      </c>
      <c r="N155" s="13">
        <f>IF(AND(Sum!$F536="Yes",Sum!$G536="Cash",Sum!O$397=N$5),Sum!O536,0)</f>
        <v>0</v>
      </c>
      <c r="O155" s="13">
        <f>IF(AND(Sum!$F536="Yes",Sum!$G536="Cash",Sum!P$397=O$5),Sum!P536,0)</f>
        <v>0</v>
      </c>
      <c r="P155" s="13">
        <f>IF(AND(Sum!$F536="Yes",Sum!$G536="Cash",Sum!Q$397=P$5),Sum!Q536,0)</f>
        <v>0</v>
      </c>
      <c r="Q155" s="264" t="str">
        <f>IF(AND(Sum!$F536="Yes",Sum!$G536="Cash"),Sum!$E536,"")</f>
        <v/>
      </c>
    </row>
    <row r="156" spans="1:17" ht="12.75" customHeight="1" x14ac:dyDescent="0.25">
      <c r="A156" s="18"/>
      <c r="B156" s="13" t="str">
        <f>IF(AND(Sum!$F537="Yes",Sum!$G537="Cash"),Sum!$B537,"")</f>
        <v/>
      </c>
      <c r="C156" s="13"/>
      <c r="D156" s="13"/>
      <c r="E156" s="13"/>
      <c r="F156" s="13"/>
      <c r="G156" s="153">
        <f>IF(AND(Sum!$F537="Yes",Sum!$G537="Cash",Sum!H$397=G$5),Sum!H537,0)</f>
        <v>0</v>
      </c>
      <c r="H156" s="13">
        <f>IF(AND(Sum!$F537="Yes",Sum!$G537="Cash",Sum!I$397=H$5),Sum!I537,0)</f>
        <v>0</v>
      </c>
      <c r="I156" s="13">
        <f>IF(AND(Sum!$F537="Yes",Sum!$G537="Cash",Sum!J$397=I$5),Sum!J537,0)</f>
        <v>0</v>
      </c>
      <c r="J156" s="13">
        <f>IF(AND(Sum!$F537="Yes",Sum!$G537="Cash",Sum!K$397=J$5),Sum!K537,0)</f>
        <v>0</v>
      </c>
      <c r="K156" s="13">
        <f>IF(AND(Sum!$F537="Yes",Sum!$G537="Cash",Sum!L$397=K$5),Sum!L537,0)</f>
        <v>0</v>
      </c>
      <c r="L156" s="13">
        <f>IF(AND(Sum!$F537="Yes",Sum!$G537="Cash",Sum!M$397=L$5),Sum!M537,0)</f>
        <v>0</v>
      </c>
      <c r="M156" s="13">
        <f>IF(AND(Sum!$F537="Yes",Sum!$G537="Cash",Sum!N$397=M$5),Sum!N537,0)</f>
        <v>0</v>
      </c>
      <c r="N156" s="13">
        <f>IF(AND(Sum!$F537="Yes",Sum!$G537="Cash",Sum!O$397=N$5),Sum!O537,0)</f>
        <v>0</v>
      </c>
      <c r="O156" s="13">
        <f>IF(AND(Sum!$F537="Yes",Sum!$G537="Cash",Sum!P$397=O$5),Sum!P537,0)</f>
        <v>0</v>
      </c>
      <c r="P156" s="13">
        <f>IF(AND(Sum!$F537="Yes",Sum!$G537="Cash",Sum!Q$397=P$5),Sum!Q537,0)</f>
        <v>0</v>
      </c>
      <c r="Q156" s="264" t="str">
        <f>IF(AND(Sum!$F537="Yes",Sum!$G537="Cash"),Sum!$E537,"")</f>
        <v/>
      </c>
    </row>
    <row r="157" spans="1:17" ht="12.75" customHeight="1" x14ac:dyDescent="0.25">
      <c r="A157" s="18"/>
      <c r="B157" s="13" t="str">
        <f>IF(AND(Sum!$F538="Yes",Sum!$G538="Cash"),Sum!$B538,"")</f>
        <v/>
      </c>
      <c r="C157" s="13"/>
      <c r="D157" s="13"/>
      <c r="E157" s="13"/>
      <c r="F157" s="13"/>
      <c r="G157" s="153">
        <f>IF(AND(Sum!$F538="Yes",Sum!$G538="Cash",Sum!H$397=G$5),Sum!H538,0)</f>
        <v>0</v>
      </c>
      <c r="H157" s="13">
        <f>IF(AND(Sum!$F538="Yes",Sum!$G538="Cash",Sum!I$397=H$5),Sum!I538,0)</f>
        <v>0</v>
      </c>
      <c r="I157" s="13">
        <f>IF(AND(Sum!$F538="Yes",Sum!$G538="Cash",Sum!J$397=I$5),Sum!J538,0)</f>
        <v>0</v>
      </c>
      <c r="J157" s="13">
        <f>IF(AND(Sum!$F538="Yes",Sum!$G538="Cash",Sum!K$397=J$5),Sum!K538,0)</f>
        <v>0</v>
      </c>
      <c r="K157" s="13">
        <f>IF(AND(Sum!$F538="Yes",Sum!$G538="Cash",Sum!L$397=K$5),Sum!L538,0)</f>
        <v>0</v>
      </c>
      <c r="L157" s="13">
        <f>IF(AND(Sum!$F538="Yes",Sum!$G538="Cash",Sum!M$397=L$5),Sum!M538,0)</f>
        <v>0</v>
      </c>
      <c r="M157" s="13">
        <f>IF(AND(Sum!$F538="Yes",Sum!$G538="Cash",Sum!N$397=M$5),Sum!N538,0)</f>
        <v>0</v>
      </c>
      <c r="N157" s="13">
        <f>IF(AND(Sum!$F538="Yes",Sum!$G538="Cash",Sum!O$397=N$5),Sum!O538,0)</f>
        <v>0</v>
      </c>
      <c r="O157" s="13">
        <f>IF(AND(Sum!$F538="Yes",Sum!$G538="Cash",Sum!P$397=O$5),Sum!P538,0)</f>
        <v>0</v>
      </c>
      <c r="P157" s="13">
        <f>IF(AND(Sum!$F538="Yes",Sum!$G538="Cash",Sum!Q$397=P$5),Sum!Q538,0)</f>
        <v>0</v>
      </c>
      <c r="Q157" s="264" t="str">
        <f>IF(AND(Sum!$F538="Yes",Sum!$G538="Cash"),Sum!$E538,"")</f>
        <v/>
      </c>
    </row>
    <row r="158" spans="1:17" ht="12.75" customHeight="1" x14ac:dyDescent="0.25">
      <c r="A158" s="18"/>
      <c r="B158" s="13" t="str">
        <f>IF(AND(Sum!$F539="Yes",Sum!$G539="Cash"),Sum!$B539,"")</f>
        <v/>
      </c>
      <c r="C158" s="13"/>
      <c r="D158" s="13"/>
      <c r="E158" s="13"/>
      <c r="F158" s="13"/>
      <c r="G158" s="153">
        <f>IF(AND(Sum!$F539="Yes",Sum!$G539="Cash",Sum!H$397=G$5),Sum!H539,0)</f>
        <v>0</v>
      </c>
      <c r="H158" s="13">
        <f>IF(AND(Sum!$F539="Yes",Sum!$G539="Cash",Sum!I$397=H$5),Sum!I539,0)</f>
        <v>0</v>
      </c>
      <c r="I158" s="13">
        <f>IF(AND(Sum!$F539="Yes",Sum!$G539="Cash",Sum!J$397=I$5),Sum!J539,0)</f>
        <v>0</v>
      </c>
      <c r="J158" s="13">
        <f>IF(AND(Sum!$F539="Yes",Sum!$G539="Cash",Sum!K$397=J$5),Sum!K539,0)</f>
        <v>0</v>
      </c>
      <c r="K158" s="13">
        <f>IF(AND(Sum!$F539="Yes",Sum!$G539="Cash",Sum!L$397=K$5),Sum!L539,0)</f>
        <v>0</v>
      </c>
      <c r="L158" s="13">
        <f>IF(AND(Sum!$F539="Yes",Sum!$G539="Cash",Sum!M$397=L$5),Sum!M539,0)</f>
        <v>0</v>
      </c>
      <c r="M158" s="13">
        <f>IF(AND(Sum!$F539="Yes",Sum!$G539="Cash",Sum!N$397=M$5),Sum!N539,0)</f>
        <v>0</v>
      </c>
      <c r="N158" s="13">
        <f>IF(AND(Sum!$F539="Yes",Sum!$G539="Cash",Sum!O$397=N$5),Sum!O539,0)</f>
        <v>0</v>
      </c>
      <c r="O158" s="13">
        <f>IF(AND(Sum!$F539="Yes",Sum!$G539="Cash",Sum!P$397=O$5),Sum!P539,0)</f>
        <v>0</v>
      </c>
      <c r="P158" s="13">
        <f>IF(AND(Sum!$F539="Yes",Sum!$G539="Cash",Sum!Q$397=P$5),Sum!Q539,0)</f>
        <v>0</v>
      </c>
      <c r="Q158" s="264" t="str">
        <f>IF(AND(Sum!$F539="Yes",Sum!$G539="Cash"),Sum!$E539,"")</f>
        <v/>
      </c>
    </row>
    <row r="159" spans="1:17" ht="12.75" customHeight="1" x14ac:dyDescent="0.25">
      <c r="A159" s="18"/>
      <c r="B159" s="13" t="str">
        <f>IF(AND(Sum!$F540="Yes",Sum!$G540="Cash"),Sum!$B540,"")</f>
        <v/>
      </c>
      <c r="C159" s="13"/>
      <c r="D159" s="13"/>
      <c r="E159" s="13"/>
      <c r="F159" s="13"/>
      <c r="G159" s="153">
        <f>IF(AND(Sum!$F540="Yes",Sum!$G540="Cash",Sum!H$397=G$5),Sum!H540,0)</f>
        <v>0</v>
      </c>
      <c r="H159" s="13">
        <f>IF(AND(Sum!$F540="Yes",Sum!$G540="Cash",Sum!I$397=H$5),Sum!I540,0)</f>
        <v>0</v>
      </c>
      <c r="I159" s="13">
        <f>IF(AND(Sum!$F540="Yes",Sum!$G540="Cash",Sum!J$397=I$5),Sum!J540,0)</f>
        <v>0</v>
      </c>
      <c r="J159" s="13">
        <f>IF(AND(Sum!$F540="Yes",Sum!$G540="Cash",Sum!K$397=J$5),Sum!K540,0)</f>
        <v>0</v>
      </c>
      <c r="K159" s="13">
        <f>IF(AND(Sum!$F540="Yes",Sum!$G540="Cash",Sum!L$397=K$5),Sum!L540,0)</f>
        <v>0</v>
      </c>
      <c r="L159" s="13">
        <f>IF(AND(Sum!$F540="Yes",Sum!$G540="Cash",Sum!M$397=L$5),Sum!M540,0)</f>
        <v>0</v>
      </c>
      <c r="M159" s="13">
        <f>IF(AND(Sum!$F540="Yes",Sum!$G540="Cash",Sum!N$397=M$5),Sum!N540,0)</f>
        <v>0</v>
      </c>
      <c r="N159" s="13">
        <f>IF(AND(Sum!$F540="Yes",Sum!$G540="Cash",Sum!O$397=N$5),Sum!O540,0)</f>
        <v>0</v>
      </c>
      <c r="O159" s="13">
        <f>IF(AND(Sum!$F540="Yes",Sum!$G540="Cash",Sum!P$397=O$5),Sum!P540,0)</f>
        <v>0</v>
      </c>
      <c r="P159" s="13">
        <f>IF(AND(Sum!$F540="Yes",Sum!$G540="Cash",Sum!Q$397=P$5),Sum!Q540,0)</f>
        <v>0</v>
      </c>
      <c r="Q159" s="264" t="str">
        <f>IF(AND(Sum!$F540="Yes",Sum!$G540="Cash"),Sum!$E540,"")</f>
        <v/>
      </c>
    </row>
    <row r="160" spans="1:17" ht="12.75" customHeight="1" x14ac:dyDescent="0.25">
      <c r="A160" s="18"/>
      <c r="B160" s="13" t="str">
        <f>IF(AND(Sum!$F541="Yes",Sum!$G541="Cash"),Sum!$B541,"")</f>
        <v/>
      </c>
      <c r="C160" s="13"/>
      <c r="D160" s="13"/>
      <c r="E160" s="13"/>
      <c r="F160" s="13"/>
      <c r="G160" s="153">
        <f>IF(AND(Sum!$F541="Yes",Sum!$G541="Cash",Sum!H$397=G$5),Sum!H541,0)</f>
        <v>0</v>
      </c>
      <c r="H160" s="13">
        <f>IF(AND(Sum!$F541="Yes",Sum!$G541="Cash",Sum!I$397=H$5),Sum!I541,0)</f>
        <v>0</v>
      </c>
      <c r="I160" s="13">
        <f>IF(AND(Sum!$F541="Yes",Sum!$G541="Cash",Sum!J$397=I$5),Sum!J541,0)</f>
        <v>0</v>
      </c>
      <c r="J160" s="13">
        <f>IF(AND(Sum!$F541="Yes",Sum!$G541="Cash",Sum!K$397=J$5),Sum!K541,0)</f>
        <v>0</v>
      </c>
      <c r="K160" s="13">
        <f>IF(AND(Sum!$F541="Yes",Sum!$G541="Cash",Sum!L$397=K$5),Sum!L541,0)</f>
        <v>0</v>
      </c>
      <c r="L160" s="13">
        <f>IF(AND(Sum!$F541="Yes",Sum!$G541="Cash",Sum!M$397=L$5),Sum!M541,0)</f>
        <v>0</v>
      </c>
      <c r="M160" s="13">
        <f>IF(AND(Sum!$F541="Yes",Sum!$G541="Cash",Sum!N$397=M$5),Sum!N541,0)</f>
        <v>0</v>
      </c>
      <c r="N160" s="13">
        <f>IF(AND(Sum!$F541="Yes",Sum!$G541="Cash",Sum!O$397=N$5),Sum!O541,0)</f>
        <v>0</v>
      </c>
      <c r="O160" s="13">
        <f>IF(AND(Sum!$F541="Yes",Sum!$G541="Cash",Sum!P$397=O$5),Sum!P541,0)</f>
        <v>0</v>
      </c>
      <c r="P160" s="13">
        <f>IF(AND(Sum!$F541="Yes",Sum!$G541="Cash",Sum!Q$397=P$5),Sum!Q541,0)</f>
        <v>0</v>
      </c>
      <c r="Q160" s="264" t="str">
        <f>IF(AND(Sum!$F541="Yes",Sum!$G541="Cash"),Sum!$E541,"")</f>
        <v/>
      </c>
    </row>
    <row r="161" spans="1:17" ht="12.75" customHeight="1" x14ac:dyDescent="0.25">
      <c r="A161" s="18"/>
      <c r="B161" s="13" t="str">
        <f>IF(AND(Sum!$F542="Yes",Sum!$G542="Cash"),Sum!$B542,"")</f>
        <v/>
      </c>
      <c r="C161" s="13"/>
      <c r="D161" s="13"/>
      <c r="E161" s="13"/>
      <c r="F161" s="13"/>
      <c r="G161" s="153">
        <f>IF(AND(Sum!$F542="Yes",Sum!$G542="Cash",Sum!H$397=G$5),Sum!H542,0)</f>
        <v>0</v>
      </c>
      <c r="H161" s="13">
        <f>IF(AND(Sum!$F542="Yes",Sum!$G542="Cash",Sum!I$397=H$5),Sum!I542,0)</f>
        <v>0</v>
      </c>
      <c r="I161" s="13">
        <f>IF(AND(Sum!$F542="Yes",Sum!$G542="Cash",Sum!J$397=I$5),Sum!J542,0)</f>
        <v>0</v>
      </c>
      <c r="J161" s="13">
        <f>IF(AND(Sum!$F542="Yes",Sum!$G542="Cash",Sum!K$397=J$5),Sum!K542,0)</f>
        <v>0</v>
      </c>
      <c r="K161" s="13">
        <f>IF(AND(Sum!$F542="Yes",Sum!$G542="Cash",Sum!L$397=K$5),Sum!L542,0)</f>
        <v>0</v>
      </c>
      <c r="L161" s="13">
        <f>IF(AND(Sum!$F542="Yes",Sum!$G542="Cash",Sum!M$397=L$5),Sum!M542,0)</f>
        <v>0</v>
      </c>
      <c r="M161" s="13">
        <f>IF(AND(Sum!$F542="Yes",Sum!$G542="Cash",Sum!N$397=M$5),Sum!N542,0)</f>
        <v>0</v>
      </c>
      <c r="N161" s="13">
        <f>IF(AND(Sum!$F542="Yes",Sum!$G542="Cash",Sum!O$397=N$5),Sum!O542,0)</f>
        <v>0</v>
      </c>
      <c r="O161" s="13">
        <f>IF(AND(Sum!$F542="Yes",Sum!$G542="Cash",Sum!P$397=O$5),Sum!P542,0)</f>
        <v>0</v>
      </c>
      <c r="P161" s="13">
        <f>IF(AND(Sum!$F542="Yes",Sum!$G542="Cash",Sum!Q$397=P$5),Sum!Q542,0)</f>
        <v>0</v>
      </c>
      <c r="Q161" s="264" t="str">
        <f>IF(AND(Sum!$F542="Yes",Sum!$G542="Cash"),Sum!$E542,"")</f>
        <v/>
      </c>
    </row>
    <row r="162" spans="1:17" ht="12.75" customHeight="1" x14ac:dyDescent="0.25">
      <c r="A162" s="18"/>
      <c r="B162" s="13" t="str">
        <f>IF(AND(Sum!$F543="Yes",Sum!$G543="Cash"),Sum!$B543,"")</f>
        <v/>
      </c>
      <c r="C162" s="13"/>
      <c r="D162" s="13"/>
      <c r="E162" s="13"/>
      <c r="F162" s="13"/>
      <c r="G162" s="153">
        <f>IF(AND(Sum!$F543="Yes",Sum!$G543="Cash",Sum!H$397=G$5),Sum!H543,0)</f>
        <v>0</v>
      </c>
      <c r="H162" s="13">
        <f>IF(AND(Sum!$F543="Yes",Sum!$G543="Cash",Sum!I$397=H$5),Sum!I543,0)</f>
        <v>0</v>
      </c>
      <c r="I162" s="13">
        <f>IF(AND(Sum!$F543="Yes",Sum!$G543="Cash",Sum!J$397=I$5),Sum!J543,0)</f>
        <v>0</v>
      </c>
      <c r="J162" s="13">
        <f>IF(AND(Sum!$F543="Yes",Sum!$G543="Cash",Sum!K$397=J$5),Sum!K543,0)</f>
        <v>0</v>
      </c>
      <c r="K162" s="13">
        <f>IF(AND(Sum!$F543="Yes",Sum!$G543="Cash",Sum!L$397=K$5),Sum!L543,0)</f>
        <v>0</v>
      </c>
      <c r="L162" s="13">
        <f>IF(AND(Sum!$F543="Yes",Sum!$G543="Cash",Sum!M$397=L$5),Sum!M543,0)</f>
        <v>0</v>
      </c>
      <c r="M162" s="13">
        <f>IF(AND(Sum!$F543="Yes",Sum!$G543="Cash",Sum!N$397=M$5),Sum!N543,0)</f>
        <v>0</v>
      </c>
      <c r="N162" s="13">
        <f>IF(AND(Sum!$F543="Yes",Sum!$G543="Cash",Sum!O$397=N$5),Sum!O543,0)</f>
        <v>0</v>
      </c>
      <c r="O162" s="13">
        <f>IF(AND(Sum!$F543="Yes",Sum!$G543="Cash",Sum!P$397=O$5),Sum!P543,0)</f>
        <v>0</v>
      </c>
      <c r="P162" s="13">
        <f>IF(AND(Sum!$F543="Yes",Sum!$G543="Cash",Sum!Q$397=P$5),Sum!Q543,0)</f>
        <v>0</v>
      </c>
      <c r="Q162" s="264" t="str">
        <f>IF(AND(Sum!$F543="Yes",Sum!$G543="Cash"),Sum!$E543,"")</f>
        <v/>
      </c>
    </row>
    <row r="163" spans="1:17" ht="12.75" customHeight="1" x14ac:dyDescent="0.25">
      <c r="A163" s="18"/>
      <c r="B163" s="13" t="str">
        <f>IF(AND(Sum!$F544="Yes",Sum!$G544="Cash"),Sum!$B544,"")</f>
        <v/>
      </c>
      <c r="C163" s="13"/>
      <c r="D163" s="13"/>
      <c r="E163" s="13"/>
      <c r="F163" s="13"/>
      <c r="G163" s="153">
        <f>IF(AND(Sum!$F544="Yes",Sum!$G544="Cash",Sum!H$397=G$5),Sum!H544,0)</f>
        <v>0</v>
      </c>
      <c r="H163" s="13">
        <f>IF(AND(Sum!$F544="Yes",Sum!$G544="Cash",Sum!I$397=H$5),Sum!I544,0)</f>
        <v>0</v>
      </c>
      <c r="I163" s="13">
        <f>IF(AND(Sum!$F544="Yes",Sum!$G544="Cash",Sum!J$397=I$5),Sum!J544,0)</f>
        <v>0</v>
      </c>
      <c r="J163" s="13">
        <f>IF(AND(Sum!$F544="Yes",Sum!$G544="Cash",Sum!K$397=J$5),Sum!K544,0)</f>
        <v>0</v>
      </c>
      <c r="K163" s="13">
        <f>IF(AND(Sum!$F544="Yes",Sum!$G544="Cash",Sum!L$397=K$5),Sum!L544,0)</f>
        <v>0</v>
      </c>
      <c r="L163" s="13">
        <f>IF(AND(Sum!$F544="Yes",Sum!$G544="Cash",Sum!M$397=L$5),Sum!M544,0)</f>
        <v>0</v>
      </c>
      <c r="M163" s="13">
        <f>IF(AND(Sum!$F544="Yes",Sum!$G544="Cash",Sum!N$397=M$5),Sum!N544,0)</f>
        <v>0</v>
      </c>
      <c r="N163" s="13">
        <f>IF(AND(Sum!$F544="Yes",Sum!$G544="Cash",Sum!O$397=N$5),Sum!O544,0)</f>
        <v>0</v>
      </c>
      <c r="O163" s="13">
        <f>IF(AND(Sum!$F544="Yes",Sum!$G544="Cash",Sum!P$397=O$5),Sum!P544,0)</f>
        <v>0</v>
      </c>
      <c r="P163" s="13">
        <f>IF(AND(Sum!$F544="Yes",Sum!$G544="Cash",Sum!Q$397=P$5),Sum!Q544,0)</f>
        <v>0</v>
      </c>
      <c r="Q163" s="264" t="str">
        <f>IF(AND(Sum!$F544="Yes",Sum!$G544="Cash"),Sum!$E544,"")</f>
        <v/>
      </c>
    </row>
    <row r="164" spans="1:17" ht="12.75" customHeight="1" x14ac:dyDescent="0.25">
      <c r="A164" s="18"/>
      <c r="B164" s="13" t="str">
        <f>IF(AND(Sum!$F545="Yes",Sum!$G545="Cash"),Sum!$B545,"")</f>
        <v/>
      </c>
      <c r="C164" s="13"/>
      <c r="D164" s="13"/>
      <c r="E164" s="13"/>
      <c r="F164" s="13"/>
      <c r="G164" s="153">
        <f>IF(AND(Sum!$F545="Yes",Sum!$G545="Cash",Sum!H$397=G$5),Sum!H545,0)</f>
        <v>0</v>
      </c>
      <c r="H164" s="13">
        <f>IF(AND(Sum!$F545="Yes",Sum!$G545="Cash",Sum!I$397=H$5),Sum!I545,0)</f>
        <v>0</v>
      </c>
      <c r="I164" s="13">
        <f>IF(AND(Sum!$F545="Yes",Sum!$G545="Cash",Sum!J$397=I$5),Sum!J545,0)</f>
        <v>0</v>
      </c>
      <c r="J164" s="13">
        <f>IF(AND(Sum!$F545="Yes",Sum!$G545="Cash",Sum!K$397=J$5),Sum!K545,0)</f>
        <v>0</v>
      </c>
      <c r="K164" s="13">
        <f>IF(AND(Sum!$F545="Yes",Sum!$G545="Cash",Sum!L$397=K$5),Sum!L545,0)</f>
        <v>0</v>
      </c>
      <c r="L164" s="13">
        <f>IF(AND(Sum!$F545="Yes",Sum!$G545="Cash",Sum!M$397=L$5),Sum!M545,0)</f>
        <v>0</v>
      </c>
      <c r="M164" s="13">
        <f>IF(AND(Sum!$F545="Yes",Sum!$G545="Cash",Sum!N$397=M$5),Sum!N545,0)</f>
        <v>0</v>
      </c>
      <c r="N164" s="13">
        <f>IF(AND(Sum!$F545="Yes",Sum!$G545="Cash",Sum!O$397=N$5),Sum!O545,0)</f>
        <v>0</v>
      </c>
      <c r="O164" s="13">
        <f>IF(AND(Sum!$F545="Yes",Sum!$G545="Cash",Sum!P$397=O$5),Sum!P545,0)</f>
        <v>0</v>
      </c>
      <c r="P164" s="13">
        <f>IF(AND(Sum!$F545="Yes",Sum!$G545="Cash",Sum!Q$397=P$5),Sum!Q545,0)</f>
        <v>0</v>
      </c>
      <c r="Q164" s="264" t="str">
        <f>IF(AND(Sum!$F545="Yes",Sum!$G545="Cash"),Sum!$E545,"")</f>
        <v/>
      </c>
    </row>
    <row r="165" spans="1:17" ht="12.75" customHeight="1" x14ac:dyDescent="0.25">
      <c r="A165" s="18"/>
      <c r="B165" s="13" t="str">
        <f>IF(AND(Sum!$F546="Yes",Sum!$G546="Cash"),Sum!$B546,"")</f>
        <v/>
      </c>
      <c r="C165" s="13"/>
      <c r="D165" s="13"/>
      <c r="E165" s="13"/>
      <c r="F165" s="13"/>
      <c r="G165" s="153">
        <f>IF(AND(Sum!$F546="Yes",Sum!$G546="Cash",Sum!H$397=G$5),Sum!H546,0)</f>
        <v>0</v>
      </c>
      <c r="H165" s="13">
        <f>IF(AND(Sum!$F546="Yes",Sum!$G546="Cash",Sum!I$397=H$5),Sum!I546,0)</f>
        <v>0</v>
      </c>
      <c r="I165" s="13">
        <f>IF(AND(Sum!$F546="Yes",Sum!$G546="Cash",Sum!J$397=I$5),Sum!J546,0)</f>
        <v>0</v>
      </c>
      <c r="J165" s="13">
        <f>IF(AND(Sum!$F546="Yes",Sum!$G546="Cash",Sum!K$397=J$5),Sum!K546,0)</f>
        <v>0</v>
      </c>
      <c r="K165" s="13">
        <f>IF(AND(Sum!$F546="Yes",Sum!$G546="Cash",Sum!L$397=K$5),Sum!L546,0)</f>
        <v>0</v>
      </c>
      <c r="L165" s="13">
        <f>IF(AND(Sum!$F546="Yes",Sum!$G546="Cash",Sum!M$397=L$5),Sum!M546,0)</f>
        <v>0</v>
      </c>
      <c r="M165" s="13">
        <f>IF(AND(Sum!$F546="Yes",Sum!$G546="Cash",Sum!N$397=M$5),Sum!N546,0)</f>
        <v>0</v>
      </c>
      <c r="N165" s="13">
        <f>IF(AND(Sum!$F546="Yes",Sum!$G546="Cash",Sum!O$397=N$5),Sum!O546,0)</f>
        <v>0</v>
      </c>
      <c r="O165" s="13">
        <f>IF(AND(Sum!$F546="Yes",Sum!$G546="Cash",Sum!P$397=O$5),Sum!P546,0)</f>
        <v>0</v>
      </c>
      <c r="P165" s="13">
        <f>IF(AND(Sum!$F546="Yes",Sum!$G546="Cash",Sum!Q$397=P$5),Sum!Q546,0)</f>
        <v>0</v>
      </c>
      <c r="Q165" s="264" t="str">
        <f>IF(AND(Sum!$F546="Yes",Sum!$G546="Cash"),Sum!$E546,"")</f>
        <v/>
      </c>
    </row>
    <row r="166" spans="1:17" ht="12.75" customHeight="1" x14ac:dyDescent="0.25">
      <c r="B166" s="30" t="str">
        <f>IF(AND(Sum!$F547="Yes",Sum!$G547="Cash"),Sum!$B547,"")</f>
        <v/>
      </c>
      <c r="C166" s="30"/>
      <c r="D166" s="30"/>
      <c r="E166" s="30"/>
      <c r="F166" s="30"/>
      <c r="G166" s="154">
        <f>IF(AND(Sum!$F547="Yes",Sum!$G547="Cash",Sum!H$397=G$5),Sum!H547,0)</f>
        <v>0</v>
      </c>
      <c r="H166" s="30">
        <f>IF(AND(Sum!$F547="Yes",Sum!$G547="Cash",Sum!I$397=H$5),Sum!I547,0)</f>
        <v>0</v>
      </c>
      <c r="I166" s="30">
        <f>IF(AND(Sum!$F547="Yes",Sum!$G547="Cash",Sum!J$397=I$5),Sum!J547,0)</f>
        <v>0</v>
      </c>
      <c r="J166" s="30">
        <f>IF(AND(Sum!$F547="Yes",Sum!$G547="Cash",Sum!K$397=J$5),Sum!K547,0)</f>
        <v>0</v>
      </c>
      <c r="K166" s="30">
        <f>IF(AND(Sum!$F547="Yes",Sum!$G547="Cash",Sum!L$397=K$5),Sum!L547,0)</f>
        <v>0</v>
      </c>
      <c r="L166" s="30">
        <f>IF(AND(Sum!$F547="Yes",Sum!$G547="Cash",Sum!M$397=L$5),Sum!M547,0)</f>
        <v>0</v>
      </c>
      <c r="M166" s="30">
        <f>IF(AND(Sum!$F547="Yes",Sum!$G547="Cash",Sum!N$397=M$5),Sum!N547,0)</f>
        <v>0</v>
      </c>
      <c r="N166" s="30">
        <f>IF(AND(Sum!$F547="Yes",Sum!$G547="Cash",Sum!O$397=N$5),Sum!O547,0)</f>
        <v>0</v>
      </c>
      <c r="O166" s="30">
        <f>IF(AND(Sum!$F547="Yes",Sum!$G547="Cash",Sum!P$397=O$5),Sum!P547,0)</f>
        <v>0</v>
      </c>
      <c r="P166" s="30">
        <f>IF(AND(Sum!$F547="Yes",Sum!$G547="Cash",Sum!Q$397=P$5),Sum!Q547,0)</f>
        <v>0</v>
      </c>
      <c r="Q166" s="264" t="str">
        <f>IF(AND(Sum!$F547="Yes",Sum!$G547="Cash"),Sum!$E547,"")</f>
        <v/>
      </c>
    </row>
    <row r="167" spans="1:17" ht="12.75" customHeight="1" x14ac:dyDescent="0.25">
      <c r="B167" s="29" t="s">
        <v>40</v>
      </c>
      <c r="C167" s="3"/>
      <c r="D167" s="3"/>
      <c r="E167" s="13"/>
      <c r="F167" s="13"/>
      <c r="G167" s="153">
        <f>SUM(G17:G166)</f>
        <v>0</v>
      </c>
      <c r="H167" s="13">
        <f>SUM(H17:H166)</f>
        <v>25000</v>
      </c>
      <c r="I167" s="13">
        <f>SUM(I17:I166)</f>
        <v>25000</v>
      </c>
      <c r="J167" s="13">
        <f t="shared" ref="J167:P167" si="4">SUM(J17:J166)</f>
        <v>25000</v>
      </c>
      <c r="K167" s="13">
        <f t="shared" si="4"/>
        <v>25000</v>
      </c>
      <c r="L167" s="13">
        <f t="shared" si="4"/>
        <v>25000</v>
      </c>
      <c r="M167" s="13">
        <f t="shared" si="4"/>
        <v>25000</v>
      </c>
      <c r="N167" s="13">
        <f t="shared" si="4"/>
        <v>25000</v>
      </c>
      <c r="O167" s="13">
        <f t="shared" si="4"/>
        <v>25000</v>
      </c>
      <c r="P167" s="13">
        <f t="shared" si="4"/>
        <v>25000</v>
      </c>
    </row>
    <row r="168" spans="1:17" ht="12.75" customHeight="1" thickBot="1" x14ac:dyDescent="0.3">
      <c r="A168" s="303"/>
      <c r="B168" s="303"/>
      <c r="C168" s="32"/>
      <c r="D168" s="32"/>
      <c r="E168" s="33"/>
      <c r="F168" s="33"/>
      <c r="G168" s="174"/>
      <c r="H168" s="33"/>
      <c r="I168" s="33"/>
      <c r="J168" s="33"/>
      <c r="K168" s="33"/>
      <c r="L168" s="33"/>
      <c r="M168" s="33"/>
      <c r="N168" s="33"/>
      <c r="O168" s="33"/>
      <c r="P168" s="33"/>
    </row>
    <row r="169" spans="1:17" ht="12.75" customHeight="1" thickTop="1" x14ac:dyDescent="0.25">
      <c r="A169" s="383" t="s">
        <v>164</v>
      </c>
      <c r="B169" s="18"/>
      <c r="C169" s="3"/>
      <c r="D169" s="3"/>
      <c r="E169" s="13"/>
      <c r="F169" s="13"/>
      <c r="G169" s="153">
        <f>G14-G167</f>
        <v>0</v>
      </c>
      <c r="H169" s="13">
        <f>H14-H167</f>
        <v>0</v>
      </c>
      <c r="I169" s="13">
        <f>I14-I167</f>
        <v>0</v>
      </c>
      <c r="J169" s="13"/>
      <c r="K169" s="13"/>
      <c r="L169" s="13"/>
      <c r="M169" s="13"/>
      <c r="N169" s="13"/>
      <c r="O169" s="13">
        <f>O14-O167</f>
        <v>0</v>
      </c>
      <c r="P169" s="13">
        <f>P14-P167</f>
        <v>0</v>
      </c>
      <c r="Q169" s="82"/>
    </row>
    <row r="170" spans="1:17" ht="12.75" customHeight="1" thickBot="1" x14ac:dyDescent="0.3">
      <c r="A170" s="384"/>
      <c r="B170" s="303"/>
      <c r="C170" s="32"/>
      <c r="D170" s="32"/>
      <c r="E170" s="33"/>
      <c r="F170" s="33"/>
      <c r="G170" s="174"/>
      <c r="H170" s="33"/>
      <c r="I170" s="33"/>
      <c r="J170" s="33"/>
      <c r="K170" s="33"/>
      <c r="L170" s="33"/>
      <c r="M170" s="33"/>
      <c r="N170" s="33"/>
      <c r="O170" s="33"/>
      <c r="P170" s="33"/>
      <c r="Q170" s="82"/>
    </row>
    <row r="171" spans="1:17" ht="12.75" customHeight="1" thickTop="1" x14ac:dyDescent="0.25">
      <c r="A171" s="383" t="s">
        <v>187</v>
      </c>
      <c r="B171" s="18"/>
      <c r="C171" s="3"/>
      <c r="D171" s="3"/>
      <c r="E171" s="13"/>
      <c r="F171" s="13"/>
      <c r="G171" s="153">
        <f>G7+G169</f>
        <v>0</v>
      </c>
      <c r="H171" s="13">
        <f>H7+H169</f>
        <v>0</v>
      </c>
      <c r="I171" s="13">
        <f>I7+I169</f>
        <v>0</v>
      </c>
      <c r="J171" s="13"/>
      <c r="K171" s="13"/>
      <c r="L171" s="13"/>
      <c r="M171" s="13"/>
      <c r="N171" s="13"/>
      <c r="O171" s="13">
        <f>O7+O169</f>
        <v>0</v>
      </c>
      <c r="P171" s="13">
        <f>P7+P169</f>
        <v>0</v>
      </c>
      <c r="Q171" s="82"/>
    </row>
    <row r="172" spans="1:17" ht="12.75" customHeight="1" thickBot="1" x14ac:dyDescent="0.3">
      <c r="A172" s="301"/>
      <c r="B172" s="301"/>
      <c r="C172" s="7"/>
      <c r="D172" s="7"/>
      <c r="E172" s="15"/>
      <c r="F172" s="15"/>
      <c r="G172" s="155"/>
      <c r="H172" s="15"/>
      <c r="I172" s="15"/>
      <c r="J172" s="15"/>
      <c r="K172" s="15"/>
      <c r="L172" s="15"/>
      <c r="M172" s="15"/>
      <c r="N172" s="15"/>
      <c r="O172" s="15"/>
      <c r="P172" s="15"/>
      <c r="Q172" s="302"/>
    </row>
    <row r="173" spans="1:17" ht="12.75" customHeight="1" x14ac:dyDescent="0.25">
      <c r="A173" s="62" t="s">
        <v>188</v>
      </c>
      <c r="B173" s="3"/>
      <c r="C173" s="3"/>
      <c r="D173" s="60">
        <v>0.33</v>
      </c>
      <c r="E173" s="13" t="s">
        <v>189</v>
      </c>
      <c r="F173" s="13"/>
      <c r="G173" s="431">
        <v>0.02</v>
      </c>
      <c r="H173" s="13" t="s">
        <v>190</v>
      </c>
      <c r="I173" s="13"/>
      <c r="J173" s="13"/>
      <c r="K173" s="13"/>
      <c r="L173" s="13"/>
      <c r="M173" s="13"/>
      <c r="N173" s="13"/>
      <c r="O173" s="13"/>
      <c r="P173" s="13"/>
    </row>
    <row r="174" spans="1:17" ht="12.75" customHeight="1" x14ac:dyDescent="0.25">
      <c r="A174" s="16"/>
      <c r="B174" s="3"/>
      <c r="C174" s="3"/>
      <c r="D174" s="3"/>
      <c r="E174" s="13"/>
      <c r="F174" s="13"/>
      <c r="G174" s="13"/>
      <c r="H174" s="13"/>
      <c r="I174" s="13"/>
      <c r="J174" s="13"/>
      <c r="K174" s="13"/>
      <c r="L174" s="13"/>
      <c r="M174" s="13"/>
      <c r="N174" s="13"/>
      <c r="O174" s="13"/>
      <c r="P174" s="13"/>
    </row>
    <row r="175" spans="1:17" ht="12.75" customHeight="1" x14ac:dyDescent="0.25">
      <c r="A175" s="16"/>
      <c r="B175" s="3"/>
      <c r="C175" s="3"/>
      <c r="D175" s="3"/>
      <c r="E175" s="13"/>
      <c r="F175" s="13"/>
      <c r="G175" s="13"/>
      <c r="H175" s="13"/>
      <c r="I175" s="13"/>
      <c r="J175" s="13"/>
      <c r="K175" s="13"/>
      <c r="L175" s="13"/>
      <c r="M175" s="13"/>
      <c r="N175" s="13"/>
      <c r="O175" s="13"/>
      <c r="P175" s="13"/>
    </row>
    <row r="176" spans="1:17" ht="12.75" customHeight="1" x14ac:dyDescent="0.25">
      <c r="A176" s="16"/>
      <c r="B176" s="3"/>
      <c r="C176" s="3"/>
      <c r="D176" s="3"/>
      <c r="E176" s="13"/>
      <c r="F176" s="13"/>
      <c r="G176" s="13"/>
      <c r="H176" s="13"/>
      <c r="I176" s="13"/>
      <c r="J176" s="13"/>
      <c r="K176" s="13"/>
      <c r="L176" s="13"/>
      <c r="M176" s="13"/>
      <c r="N176" s="13"/>
      <c r="O176" s="13"/>
      <c r="P176" s="13"/>
    </row>
    <row r="177" spans="1:17" ht="12.75" customHeight="1" x14ac:dyDescent="0.25">
      <c r="A177" s="77" t="s">
        <v>244</v>
      </c>
      <c r="B177" s="3"/>
      <c r="C177" s="3"/>
      <c r="D177" s="3"/>
      <c r="E177" s="13"/>
      <c r="F177" s="13"/>
      <c r="G177" s="13"/>
      <c r="H177" s="13"/>
      <c r="I177" s="65"/>
      <c r="J177" s="65"/>
      <c r="K177" s="65"/>
      <c r="L177" s="65"/>
      <c r="M177" s="65"/>
      <c r="N177" s="65"/>
      <c r="O177" s="385"/>
      <c r="P177" s="385"/>
      <c r="Q177" s="64"/>
    </row>
    <row r="178" spans="1:17" ht="12.75" customHeight="1" x14ac:dyDescent="0.25">
      <c r="A178" s="77" t="s">
        <v>151</v>
      </c>
      <c r="B178" s="3"/>
      <c r="C178" s="3"/>
      <c r="D178" s="3"/>
      <c r="E178" s="13"/>
      <c r="F178" s="13"/>
      <c r="G178" s="13"/>
      <c r="H178" s="65"/>
      <c r="I178" s="13"/>
      <c r="J178" s="13"/>
      <c r="K178" s="13"/>
      <c r="L178" s="13"/>
      <c r="M178" s="13"/>
      <c r="N178" s="13"/>
      <c r="O178" s="13"/>
      <c r="P178" s="13"/>
      <c r="Q178" s="3"/>
    </row>
    <row r="179" spans="1:17" ht="12.75" customHeight="1" x14ac:dyDescent="0.25">
      <c r="A179" s="77" t="s">
        <v>39</v>
      </c>
      <c r="B179" s="3"/>
      <c r="C179" s="3"/>
      <c r="D179" s="67"/>
      <c r="E179" s="13"/>
      <c r="F179" s="13"/>
      <c r="G179" s="13"/>
      <c r="H179" s="65"/>
      <c r="I179" s="13"/>
      <c r="J179" s="13"/>
      <c r="K179" s="13"/>
      <c r="L179" s="13"/>
      <c r="M179" s="13"/>
      <c r="N179" s="13"/>
      <c r="O179" s="13"/>
      <c r="P179" s="13"/>
      <c r="Q179" s="3"/>
    </row>
    <row r="180" spans="1:17" ht="12.75" customHeight="1" thickBot="1" x14ac:dyDescent="0.3">
      <c r="A180" s="78" t="s">
        <v>428</v>
      </c>
      <c r="B180" s="7"/>
      <c r="C180" s="7"/>
      <c r="D180" s="7"/>
      <c r="E180" s="15"/>
      <c r="F180" s="15"/>
      <c r="G180" s="15"/>
      <c r="H180" s="200"/>
      <c r="I180" s="27"/>
      <c r="J180" s="27"/>
      <c r="K180" s="27"/>
      <c r="L180" s="27"/>
      <c r="M180" s="27"/>
      <c r="N180" s="27"/>
      <c r="O180" s="27"/>
      <c r="P180" s="27"/>
      <c r="Q180" s="7"/>
    </row>
    <row r="181" spans="1:17" ht="12.75" customHeight="1" x14ac:dyDescent="0.25">
      <c r="A181" s="646" t="s">
        <v>215</v>
      </c>
      <c r="B181" s="646"/>
      <c r="C181" s="646"/>
      <c r="D181" s="242"/>
      <c r="E181" s="281">
        <f>Sum!E$5</f>
        <v>2023</v>
      </c>
      <c r="F181" s="281">
        <f>Sum!F$5</f>
        <v>2024</v>
      </c>
      <c r="G181" s="282">
        <f>Sum!G$5</f>
        <v>2025</v>
      </c>
      <c r="H181" s="281">
        <f>Sum!H$5</f>
        <v>2026</v>
      </c>
      <c r="I181" s="281">
        <f>Sum!I$5</f>
        <v>2027</v>
      </c>
      <c r="J181" s="281">
        <f>Sum!J$5</f>
        <v>2028</v>
      </c>
      <c r="K181" s="281">
        <f>Sum!K$5</f>
        <v>2029</v>
      </c>
      <c r="L181" s="281">
        <f>Sum!L$5</f>
        <v>2030</v>
      </c>
      <c r="M181" s="281">
        <f>Sum!M$5</f>
        <v>2031</v>
      </c>
      <c r="N181" s="281">
        <f>Sum!N$5</f>
        <v>2032</v>
      </c>
      <c r="O181" s="281">
        <f>Sum!O$5</f>
        <v>2033</v>
      </c>
      <c r="P181" s="281">
        <f>Sum!P$5</f>
        <v>2034</v>
      </c>
      <c r="Q181" s="265" t="s">
        <v>224</v>
      </c>
    </row>
    <row r="182" spans="1:17" ht="12.75" customHeight="1" x14ac:dyDescent="0.25">
      <c r="A182" s="16"/>
      <c r="B182" s="3"/>
      <c r="C182" s="3"/>
      <c r="D182" s="3"/>
      <c r="E182" s="13"/>
      <c r="F182" s="13"/>
      <c r="G182" s="153"/>
      <c r="H182" s="13"/>
      <c r="I182" s="13"/>
      <c r="J182" s="13"/>
      <c r="K182" s="13"/>
      <c r="L182" s="13"/>
      <c r="M182" s="13"/>
      <c r="N182" s="13"/>
      <c r="O182" s="13"/>
      <c r="P182" s="13"/>
      <c r="Q182" s="3"/>
    </row>
    <row r="183" spans="1:17" ht="12.75" customHeight="1" x14ac:dyDescent="0.25">
      <c r="A183" s="77" t="s">
        <v>185</v>
      </c>
      <c r="B183" s="3"/>
      <c r="C183" s="3"/>
      <c r="D183" s="3"/>
      <c r="E183" s="20"/>
      <c r="F183" s="13"/>
      <c r="G183" s="410">
        <v>0</v>
      </c>
      <c r="H183" s="13">
        <f>G347</f>
        <v>0</v>
      </c>
      <c r="I183" s="13">
        <f>H347</f>
        <v>0</v>
      </c>
      <c r="J183" s="13">
        <f t="shared" ref="J183:P183" si="5">I347</f>
        <v>0</v>
      </c>
      <c r="K183" s="13">
        <f t="shared" si="5"/>
        <v>0</v>
      </c>
      <c r="L183" s="13">
        <f t="shared" si="5"/>
        <v>0</v>
      </c>
      <c r="M183" s="13">
        <f t="shared" si="5"/>
        <v>0</v>
      </c>
      <c r="N183" s="13">
        <f t="shared" si="5"/>
        <v>0</v>
      </c>
      <c r="O183" s="13">
        <f t="shared" si="5"/>
        <v>0</v>
      </c>
      <c r="P183" s="13">
        <f t="shared" si="5"/>
        <v>0</v>
      </c>
      <c r="Q183" s="3"/>
    </row>
    <row r="184" spans="1:17" ht="12.75" customHeight="1" x14ac:dyDescent="0.25">
      <c r="A184" s="77"/>
      <c r="B184" s="3"/>
      <c r="C184" s="3"/>
      <c r="D184" s="3"/>
      <c r="E184" s="20"/>
      <c r="F184" s="13"/>
      <c r="G184" s="153"/>
      <c r="H184" s="13"/>
      <c r="I184" s="13"/>
      <c r="J184" s="13"/>
      <c r="K184" s="13"/>
      <c r="L184" s="13"/>
      <c r="M184" s="13"/>
      <c r="N184" s="13"/>
      <c r="O184" s="13"/>
      <c r="P184" s="13"/>
      <c r="Q184" s="3"/>
    </row>
    <row r="185" spans="1:17" ht="12.75" customHeight="1" x14ac:dyDescent="0.25">
      <c r="A185" s="77" t="s">
        <v>227</v>
      </c>
      <c r="B185" s="3"/>
      <c r="C185" s="3"/>
      <c r="D185" s="3"/>
      <c r="E185" s="20"/>
      <c r="F185" s="13"/>
      <c r="G185" s="153"/>
      <c r="H185" s="13"/>
      <c r="I185" s="13"/>
      <c r="J185" s="13"/>
      <c r="K185" s="13"/>
      <c r="L185" s="13"/>
      <c r="M185" s="13"/>
      <c r="N185" s="13"/>
      <c r="O185" s="13"/>
      <c r="P185" s="13"/>
      <c r="Q185" s="3"/>
    </row>
    <row r="186" spans="1:17" ht="12.75" customHeight="1" x14ac:dyDescent="0.25">
      <c r="A186" s="62"/>
      <c r="B186" s="3" t="s">
        <v>268</v>
      </c>
      <c r="C186" s="3"/>
      <c r="D186" s="3"/>
      <c r="E186" s="20"/>
      <c r="F186" s="20"/>
      <c r="G186" s="172">
        <v>0</v>
      </c>
      <c r="H186" s="13">
        <f>G186*(1+'W-Dem'!H98)</f>
        <v>0</v>
      </c>
      <c r="I186" s="13">
        <f>H186*(1+'W-Dem'!I98)</f>
        <v>0</v>
      </c>
      <c r="J186" s="13">
        <f>I186*(1+'W-Dem'!J98)</f>
        <v>0</v>
      </c>
      <c r="K186" s="13">
        <f>J186*(1+'W-Dem'!K98)</f>
        <v>0</v>
      </c>
      <c r="L186" s="13">
        <f>K186*(1+'W-Dem'!L98)</f>
        <v>0</v>
      </c>
      <c r="M186" s="13">
        <f>L186*(1+'W-Dem'!M98)</f>
        <v>0</v>
      </c>
      <c r="N186" s="13">
        <f>M186*(1+'W-Dem'!N98)</f>
        <v>0</v>
      </c>
      <c r="O186" s="13">
        <f>N186*(1+'W-Dem'!O98)</f>
        <v>0</v>
      </c>
      <c r="P186" s="13">
        <f>O186*(1+'W-Dem'!P98)</f>
        <v>0</v>
      </c>
      <c r="Q186" s="3"/>
    </row>
    <row r="187" spans="1:17" ht="12.75" customHeight="1" x14ac:dyDescent="0.25">
      <c r="A187" s="62"/>
      <c r="B187" s="3" t="s">
        <v>264</v>
      </c>
      <c r="C187" s="3"/>
      <c r="D187" s="3"/>
      <c r="E187" s="20"/>
      <c r="F187" s="20"/>
      <c r="G187" s="172">
        <f>G183*$D$349*$G$349</f>
        <v>0</v>
      </c>
      <c r="H187" s="13">
        <f>H183*$D$349*$G$349</f>
        <v>0</v>
      </c>
      <c r="I187" s="13">
        <f>I183*$D$349*$G$349</f>
        <v>0</v>
      </c>
      <c r="J187" s="13">
        <f t="shared" ref="J187:P187" si="6">J183*$D$349*$G$349</f>
        <v>0</v>
      </c>
      <c r="K187" s="13">
        <f t="shared" si="6"/>
        <v>0</v>
      </c>
      <c r="L187" s="13">
        <f t="shared" si="6"/>
        <v>0</v>
      </c>
      <c r="M187" s="13">
        <f t="shared" si="6"/>
        <v>0</v>
      </c>
      <c r="N187" s="13">
        <f t="shared" si="6"/>
        <v>0</v>
      </c>
      <c r="O187" s="13">
        <f t="shared" si="6"/>
        <v>0</v>
      </c>
      <c r="P187" s="13">
        <f t="shared" si="6"/>
        <v>0</v>
      </c>
      <c r="Q187" s="3"/>
    </row>
    <row r="188" spans="1:17" ht="12.75" customHeight="1" x14ac:dyDescent="0.25">
      <c r="A188" s="62"/>
      <c r="B188" s="3"/>
      <c r="C188" s="3"/>
      <c r="D188" s="3"/>
      <c r="E188" s="20"/>
      <c r="F188" s="20"/>
      <c r="G188" s="172"/>
      <c r="H188" s="13"/>
      <c r="I188" s="13"/>
      <c r="J188" s="13"/>
      <c r="K188" s="13"/>
      <c r="L188" s="13"/>
      <c r="M188" s="13"/>
      <c r="N188" s="13"/>
      <c r="O188" s="13"/>
      <c r="P188" s="13"/>
      <c r="Q188" s="3"/>
    </row>
    <row r="189" spans="1:17" ht="12.75" customHeight="1" x14ac:dyDescent="0.25">
      <c r="A189" s="62"/>
      <c r="B189" s="22"/>
      <c r="C189" s="22"/>
      <c r="D189" s="22"/>
      <c r="E189" s="76"/>
      <c r="F189" s="76"/>
      <c r="G189" s="173"/>
      <c r="H189" s="30"/>
      <c r="I189" s="30"/>
      <c r="J189" s="30"/>
      <c r="K189" s="30"/>
      <c r="L189" s="30"/>
      <c r="M189" s="30"/>
      <c r="N189" s="30"/>
      <c r="O189" s="30"/>
      <c r="P189" s="30"/>
      <c r="Q189" s="3"/>
    </row>
    <row r="190" spans="1:17" ht="12.75" customHeight="1" x14ac:dyDescent="0.25">
      <c r="A190" s="77"/>
      <c r="B190" s="29" t="s">
        <v>238</v>
      </c>
      <c r="C190" s="29"/>
      <c r="D190" s="29"/>
      <c r="E190" s="346">
        <f t="shared" ref="E190:I190" si="7">SUM(E186:E189)</f>
        <v>0</v>
      </c>
      <c r="F190" s="346">
        <f t="shared" si="7"/>
        <v>0</v>
      </c>
      <c r="G190" s="176">
        <f t="shared" si="7"/>
        <v>0</v>
      </c>
      <c r="H190" s="149">
        <f t="shared" si="7"/>
        <v>0</v>
      </c>
      <c r="I190" s="149">
        <f t="shared" si="7"/>
        <v>0</v>
      </c>
      <c r="J190" s="149">
        <f t="shared" ref="J190:P190" si="8">SUM(J186:J189)</f>
        <v>0</v>
      </c>
      <c r="K190" s="149">
        <f t="shared" si="8"/>
        <v>0</v>
      </c>
      <c r="L190" s="149">
        <f t="shared" si="8"/>
        <v>0</v>
      </c>
      <c r="M190" s="149">
        <f t="shared" si="8"/>
        <v>0</v>
      </c>
      <c r="N190" s="149">
        <f t="shared" si="8"/>
        <v>0</v>
      </c>
      <c r="O190" s="149">
        <f t="shared" si="8"/>
        <v>0</v>
      </c>
      <c r="P190" s="149">
        <f t="shared" si="8"/>
        <v>0</v>
      </c>
      <c r="Q190" s="3"/>
    </row>
    <row r="191" spans="1:17" ht="12.75" customHeight="1" x14ac:dyDescent="0.25">
      <c r="A191" s="16"/>
      <c r="B191" s="3"/>
      <c r="C191" s="3"/>
      <c r="D191" s="3"/>
      <c r="E191" s="13"/>
      <c r="F191" s="13"/>
      <c r="G191" s="153"/>
      <c r="H191" s="13"/>
      <c r="I191" s="13"/>
      <c r="J191" s="13"/>
      <c r="K191" s="13"/>
      <c r="L191" s="13"/>
      <c r="M191" s="13"/>
      <c r="N191" s="13"/>
      <c r="O191" s="13"/>
      <c r="P191" s="13"/>
      <c r="Q191" s="3"/>
    </row>
    <row r="192" spans="1:17" ht="12.75" customHeight="1" x14ac:dyDescent="0.25">
      <c r="A192" s="77" t="s">
        <v>228</v>
      </c>
      <c r="B192" s="3"/>
      <c r="C192" s="3"/>
      <c r="D192" s="3"/>
      <c r="E192" s="13"/>
      <c r="F192" s="13"/>
      <c r="G192" s="153"/>
      <c r="H192" s="13"/>
      <c r="I192" s="13"/>
      <c r="J192" s="13"/>
      <c r="K192" s="13"/>
      <c r="L192" s="13"/>
      <c r="M192" s="13"/>
      <c r="N192" s="13"/>
      <c r="O192" s="13"/>
      <c r="P192" s="13"/>
      <c r="Q192" s="3"/>
    </row>
    <row r="193" spans="1:17" ht="12.75" customHeight="1" x14ac:dyDescent="0.25">
      <c r="A193" s="306"/>
      <c r="B193" s="306" t="str">
        <f>IF(AND(Sum!$F398="Yes",Sum!$G398="Fees"),Sum!$B398,"")</f>
        <v/>
      </c>
      <c r="C193" s="13"/>
      <c r="D193" s="13"/>
      <c r="E193" s="13"/>
      <c r="F193" s="13"/>
      <c r="G193" s="153">
        <f>IF(AND(Sum!$F398="Yes",Sum!$G398="Fees",Sum!H$397=G$5),Sum!H398,0)</f>
        <v>0</v>
      </c>
      <c r="H193" s="13">
        <f>IF(AND(Sum!$F398="Yes",Sum!$G398="Fees",Sum!I$397=H$5),Sum!I398,0)</f>
        <v>0</v>
      </c>
      <c r="I193" s="13">
        <f>IF(AND(Sum!$F398="Yes",Sum!$G398="Fees",Sum!J$397=I$5),Sum!J398,0)</f>
        <v>0</v>
      </c>
      <c r="J193" s="13">
        <f>IF(AND(Sum!$F398="Yes",Sum!$G398="Fees",Sum!K$397=J$5),Sum!K398,0)</f>
        <v>0</v>
      </c>
      <c r="K193" s="13">
        <f>IF(AND(Sum!$F398="Yes",Sum!$G398="Fees",Sum!L$397=K$5),Sum!L398,0)</f>
        <v>0</v>
      </c>
      <c r="L193" s="13">
        <f>IF(AND(Sum!$F398="Yes",Sum!$G398="Fees",Sum!M$397=L$5),Sum!M398,0)</f>
        <v>0</v>
      </c>
      <c r="M193" s="13">
        <f>IF(AND(Sum!$F398="Yes",Sum!$G398="Fees",Sum!N$397=M$5),Sum!N398,0)</f>
        <v>0</v>
      </c>
      <c r="N193" s="13">
        <f>IF(AND(Sum!$F398="Yes",Sum!$G398="Fees",Sum!O$397=N$5),Sum!O398,0)</f>
        <v>0</v>
      </c>
      <c r="O193" s="13">
        <f>IF(AND(Sum!$F398="Yes",Sum!$G398="Fees",Sum!P$397=O$5),Sum!P398,0)</f>
        <v>0</v>
      </c>
      <c r="P193" s="13">
        <f>IF(AND(Sum!$F398="Yes",Sum!$G398="Fees",Sum!Q$397=P$5),Sum!Q398,0)</f>
        <v>0</v>
      </c>
      <c r="Q193" s="264" t="str">
        <f>IF(AND(Sum!$F398="Yes",Sum!$G398="Fees"),Sum!$E398,"")</f>
        <v/>
      </c>
    </row>
    <row r="194" spans="1:17" ht="12.75" customHeight="1" x14ac:dyDescent="0.25">
      <c r="A194" s="18"/>
      <c r="B194" s="306" t="str">
        <f>IF(AND(Sum!$F399="Yes",Sum!$G399="Fees"),Sum!$B399,"")</f>
        <v/>
      </c>
      <c r="C194" s="13"/>
      <c r="D194" s="13"/>
      <c r="E194" s="13"/>
      <c r="F194" s="13"/>
      <c r="G194" s="153">
        <f>IF(AND(Sum!$F399="Yes",Sum!$G399="Fees",Sum!H$397=G$5),Sum!H399,0)</f>
        <v>0</v>
      </c>
      <c r="H194" s="13">
        <f>IF(AND(Sum!$F399="Yes",Sum!$G399="Fees",Sum!I$397=H$5),Sum!I399,0)</f>
        <v>0</v>
      </c>
      <c r="I194" s="13">
        <f>IF(AND(Sum!$F399="Yes",Sum!$G399="Fees",Sum!J$397=I$5),Sum!J399,0)</f>
        <v>0</v>
      </c>
      <c r="J194" s="13">
        <f>IF(AND(Sum!$F399="Yes",Sum!$G399="Fees",Sum!K$397=J$5),Sum!K399,0)</f>
        <v>0</v>
      </c>
      <c r="K194" s="13">
        <f>IF(AND(Sum!$F399="Yes",Sum!$G399="Fees",Sum!L$397=K$5),Sum!L399,0)</f>
        <v>0</v>
      </c>
      <c r="L194" s="13">
        <f>IF(AND(Sum!$F399="Yes",Sum!$G399="Fees",Sum!M$397=L$5),Sum!M399,0)</f>
        <v>0</v>
      </c>
      <c r="M194" s="13">
        <f>IF(AND(Sum!$F399="Yes",Sum!$G399="Fees",Sum!N$397=M$5),Sum!N399,0)</f>
        <v>0</v>
      </c>
      <c r="N194" s="13">
        <f>IF(AND(Sum!$F399="Yes",Sum!$G399="Fees",Sum!O$397=N$5),Sum!O399,0)</f>
        <v>0</v>
      </c>
      <c r="O194" s="13">
        <f>IF(AND(Sum!$F399="Yes",Sum!$G399="Fees",Sum!P$397=O$5),Sum!P399,0)</f>
        <v>0</v>
      </c>
      <c r="P194" s="13">
        <f>IF(AND(Sum!$F399="Yes",Sum!$G399="Fees",Sum!Q$397=P$5),Sum!Q399,0)</f>
        <v>0</v>
      </c>
      <c r="Q194" s="264" t="str">
        <f>IF(AND(Sum!$F399="Yes",Sum!$G399="Fees"),Sum!$E399,"")</f>
        <v/>
      </c>
    </row>
    <row r="195" spans="1:17" ht="12.75" customHeight="1" x14ac:dyDescent="0.25">
      <c r="A195" s="18"/>
      <c r="B195" s="306" t="str">
        <f>IF(AND(Sum!$F400="Yes",Sum!$G400="Fees"),Sum!$B400,"")</f>
        <v/>
      </c>
      <c r="C195" s="13"/>
      <c r="D195" s="13"/>
      <c r="E195" s="13"/>
      <c r="F195" s="13"/>
      <c r="G195" s="153">
        <f>IF(AND(Sum!$F400="Yes",Sum!$G400="Fees",Sum!H$397=G$5),Sum!H400,0)</f>
        <v>0</v>
      </c>
      <c r="H195" s="13">
        <f>IF(AND(Sum!$F400="Yes",Sum!$G400="Fees",Sum!I$397=H$5),Sum!I400,0)</f>
        <v>0</v>
      </c>
      <c r="I195" s="13">
        <f>IF(AND(Sum!$F400="Yes",Sum!$G400="Fees",Sum!J$397=I$5),Sum!J400,0)</f>
        <v>0</v>
      </c>
      <c r="J195" s="13">
        <f>IF(AND(Sum!$F400="Yes",Sum!$G400="Fees",Sum!K$397=J$5),Sum!K400,0)</f>
        <v>0</v>
      </c>
      <c r="K195" s="13">
        <f>IF(AND(Sum!$F400="Yes",Sum!$G400="Fees",Sum!L$397=K$5),Sum!L400,0)</f>
        <v>0</v>
      </c>
      <c r="L195" s="13">
        <f>IF(AND(Sum!$F400="Yes",Sum!$G400="Fees",Sum!M$397=L$5),Sum!M400,0)</f>
        <v>0</v>
      </c>
      <c r="M195" s="13">
        <f>IF(AND(Sum!$F400="Yes",Sum!$G400="Fees",Sum!N$397=M$5),Sum!N400,0)</f>
        <v>0</v>
      </c>
      <c r="N195" s="13">
        <f>IF(AND(Sum!$F400="Yes",Sum!$G400="Fees",Sum!O$397=N$5),Sum!O400,0)</f>
        <v>0</v>
      </c>
      <c r="O195" s="13">
        <f>IF(AND(Sum!$F400="Yes",Sum!$G400="Fees",Sum!P$397=O$5),Sum!P400,0)</f>
        <v>0</v>
      </c>
      <c r="P195" s="13">
        <f>IF(AND(Sum!$F400="Yes",Sum!$G400="Fees",Sum!Q$397=P$5),Sum!Q400,0)</f>
        <v>0</v>
      </c>
      <c r="Q195" s="264" t="str">
        <f>IF(AND(Sum!$F400="Yes",Sum!$G400="Fees"),Sum!$E400,"")</f>
        <v/>
      </c>
    </row>
    <row r="196" spans="1:17" ht="12.75" customHeight="1" x14ac:dyDescent="0.25">
      <c r="A196" s="18"/>
      <c r="B196" s="306" t="str">
        <f>IF(AND(Sum!$F401="Yes",Sum!$G401="Fees"),Sum!$B401,"")</f>
        <v/>
      </c>
      <c r="C196" s="13"/>
      <c r="D196" s="13"/>
      <c r="E196" s="13"/>
      <c r="F196" s="13"/>
      <c r="G196" s="153">
        <f>IF(AND(Sum!$F401="Yes",Sum!$G401="Fees",Sum!H$397=G$5),Sum!H401,0)</f>
        <v>0</v>
      </c>
      <c r="H196" s="13">
        <f>IF(AND(Sum!$F401="Yes",Sum!$G401="Fees",Sum!I$397=H$5),Sum!I401,0)</f>
        <v>0</v>
      </c>
      <c r="I196" s="13">
        <f>IF(AND(Sum!$F401="Yes",Sum!$G401="Fees",Sum!J$397=I$5),Sum!J401,0)</f>
        <v>0</v>
      </c>
      <c r="J196" s="13">
        <f>IF(AND(Sum!$F401="Yes",Sum!$G401="Fees",Sum!K$397=J$5),Sum!K401,0)</f>
        <v>0</v>
      </c>
      <c r="K196" s="13">
        <f>IF(AND(Sum!$F401="Yes",Sum!$G401="Fees",Sum!L$397=K$5),Sum!L401,0)</f>
        <v>0</v>
      </c>
      <c r="L196" s="13">
        <f>IF(AND(Sum!$F401="Yes",Sum!$G401="Fees",Sum!M$397=L$5),Sum!M401,0)</f>
        <v>0</v>
      </c>
      <c r="M196" s="13">
        <f>IF(AND(Sum!$F401="Yes",Sum!$G401="Fees",Sum!N$397=M$5),Sum!N401,0)</f>
        <v>0</v>
      </c>
      <c r="N196" s="13">
        <f>IF(AND(Sum!$F401="Yes",Sum!$G401="Fees",Sum!O$397=N$5),Sum!O401,0)</f>
        <v>0</v>
      </c>
      <c r="O196" s="13">
        <f>IF(AND(Sum!$F401="Yes",Sum!$G401="Fees",Sum!P$397=O$5),Sum!P401,0)</f>
        <v>0</v>
      </c>
      <c r="P196" s="13">
        <f>IF(AND(Sum!$F401="Yes",Sum!$G401="Fees",Sum!Q$397=P$5),Sum!Q401,0)</f>
        <v>0</v>
      </c>
      <c r="Q196" s="264" t="str">
        <f>IF(AND(Sum!$F401="Yes",Sum!$G401="Fees"),Sum!$E401,"")</f>
        <v/>
      </c>
    </row>
    <row r="197" spans="1:17" ht="12.75" customHeight="1" x14ac:dyDescent="0.25">
      <c r="A197" s="18"/>
      <c r="B197" s="306" t="str">
        <f>IF(AND(Sum!$F402="Yes",Sum!$G402="Fees"),Sum!$B402,"")</f>
        <v/>
      </c>
      <c r="C197" s="13"/>
      <c r="D197" s="13"/>
      <c r="E197" s="13"/>
      <c r="F197" s="13"/>
      <c r="G197" s="153">
        <f>IF(AND(Sum!$F402="Yes",Sum!$G402="Fees",Sum!H$397=G$5),Sum!H402,0)</f>
        <v>0</v>
      </c>
      <c r="H197" s="13">
        <f>IF(AND(Sum!$F402="Yes",Sum!$G402="Fees",Sum!I$397=H$5),Sum!I402,0)</f>
        <v>0</v>
      </c>
      <c r="I197" s="13">
        <f>IF(AND(Sum!$F402="Yes",Sum!$G402="Fees",Sum!J$397=I$5),Sum!J402,0)</f>
        <v>0</v>
      </c>
      <c r="J197" s="13">
        <f>IF(AND(Sum!$F402="Yes",Sum!$G402="Fees",Sum!K$397=J$5),Sum!K402,0)</f>
        <v>0</v>
      </c>
      <c r="K197" s="13">
        <f>IF(AND(Sum!$F402="Yes",Sum!$G402="Fees",Sum!L$397=K$5),Sum!L402,0)</f>
        <v>0</v>
      </c>
      <c r="L197" s="13">
        <f>IF(AND(Sum!$F402="Yes",Sum!$G402="Fees",Sum!M$397=L$5),Sum!M402,0)</f>
        <v>0</v>
      </c>
      <c r="M197" s="13">
        <f>IF(AND(Sum!$F402="Yes",Sum!$G402="Fees",Sum!N$397=M$5),Sum!N402,0)</f>
        <v>0</v>
      </c>
      <c r="N197" s="13">
        <f>IF(AND(Sum!$F402="Yes",Sum!$G402="Fees",Sum!O$397=N$5),Sum!O402,0)</f>
        <v>0</v>
      </c>
      <c r="O197" s="13">
        <f>IF(AND(Sum!$F402="Yes",Sum!$G402="Fees",Sum!P$397=O$5),Sum!P402,0)</f>
        <v>0</v>
      </c>
      <c r="P197" s="13">
        <f>IF(AND(Sum!$F402="Yes",Sum!$G402="Fees",Sum!Q$397=P$5),Sum!Q402,0)</f>
        <v>0</v>
      </c>
      <c r="Q197" s="264" t="str">
        <f>IF(AND(Sum!$F402="Yes",Sum!$G402="Fees"),Sum!$E402,"")</f>
        <v/>
      </c>
    </row>
    <row r="198" spans="1:17" ht="12.75" customHeight="1" x14ac:dyDescent="0.25">
      <c r="A198" s="18"/>
      <c r="B198" s="306" t="str">
        <f>IF(AND(Sum!$F403="Yes",Sum!$G403="Fees"),Sum!$B403,"")</f>
        <v/>
      </c>
      <c r="C198" s="13"/>
      <c r="D198" s="13"/>
      <c r="E198" s="13"/>
      <c r="F198" s="13"/>
      <c r="G198" s="153">
        <f>IF(AND(Sum!$F403="Yes",Sum!$G403="Fees",Sum!H$397=G$5),Sum!H403,0)</f>
        <v>0</v>
      </c>
      <c r="H198" s="13">
        <f>IF(AND(Sum!$F403="Yes",Sum!$G403="Fees",Sum!I$397=H$5),Sum!I403,0)</f>
        <v>0</v>
      </c>
      <c r="I198" s="13">
        <f>IF(AND(Sum!$F403="Yes",Sum!$G403="Fees",Sum!J$397=I$5),Sum!J403,0)</f>
        <v>0</v>
      </c>
      <c r="J198" s="13">
        <f>IF(AND(Sum!$F403="Yes",Sum!$G403="Fees",Sum!K$397=J$5),Sum!K403,0)</f>
        <v>0</v>
      </c>
      <c r="K198" s="13">
        <f>IF(AND(Sum!$F403="Yes",Sum!$G403="Fees",Sum!L$397=K$5),Sum!L403,0)</f>
        <v>0</v>
      </c>
      <c r="L198" s="13">
        <f>IF(AND(Sum!$F403="Yes",Sum!$G403="Fees",Sum!M$397=L$5),Sum!M403,0)</f>
        <v>0</v>
      </c>
      <c r="M198" s="13">
        <f>IF(AND(Sum!$F403="Yes",Sum!$G403="Fees",Sum!N$397=M$5),Sum!N403,0)</f>
        <v>0</v>
      </c>
      <c r="N198" s="13">
        <f>IF(AND(Sum!$F403="Yes",Sum!$G403="Fees",Sum!O$397=N$5),Sum!O403,0)</f>
        <v>0</v>
      </c>
      <c r="O198" s="13">
        <f>IF(AND(Sum!$F403="Yes",Sum!$G403="Fees",Sum!P$397=O$5),Sum!P403,0)</f>
        <v>0</v>
      </c>
      <c r="P198" s="13">
        <f>IF(AND(Sum!$F403="Yes",Sum!$G403="Fees",Sum!Q$397=P$5),Sum!Q403,0)</f>
        <v>0</v>
      </c>
      <c r="Q198" s="264" t="str">
        <f>IF(AND(Sum!$F403="Yes",Sum!$G403="Fees"),Sum!$E403,"")</f>
        <v/>
      </c>
    </row>
    <row r="199" spans="1:17" ht="12.75" customHeight="1" x14ac:dyDescent="0.25">
      <c r="A199" s="18"/>
      <c r="B199" s="306" t="str">
        <f>IF(AND(Sum!$F404="Yes",Sum!$G404="Fees"),Sum!$B404,"")</f>
        <v/>
      </c>
      <c r="C199" s="13"/>
      <c r="D199" s="13"/>
      <c r="E199" s="13"/>
      <c r="F199" s="13"/>
      <c r="G199" s="153">
        <f>IF(AND(Sum!$F404="Yes",Sum!$G404="Fees",Sum!H$397=G$5),Sum!H404,0)</f>
        <v>0</v>
      </c>
      <c r="H199" s="13">
        <f>IF(AND(Sum!$F404="Yes",Sum!$G404="Fees",Sum!I$397=H$5),Sum!I404,0)</f>
        <v>0</v>
      </c>
      <c r="I199" s="13">
        <f>IF(AND(Sum!$F404="Yes",Sum!$G404="Fees",Sum!J$397=I$5),Sum!J404,0)</f>
        <v>0</v>
      </c>
      <c r="J199" s="13">
        <f>IF(AND(Sum!$F404="Yes",Sum!$G404="Fees",Sum!K$397=J$5),Sum!K404,0)</f>
        <v>0</v>
      </c>
      <c r="K199" s="13">
        <f>IF(AND(Sum!$F404="Yes",Sum!$G404="Fees",Sum!L$397=K$5),Sum!L404,0)</f>
        <v>0</v>
      </c>
      <c r="L199" s="13">
        <f>IF(AND(Sum!$F404="Yes",Sum!$G404="Fees",Sum!M$397=L$5),Sum!M404,0)</f>
        <v>0</v>
      </c>
      <c r="M199" s="13">
        <f>IF(AND(Sum!$F404="Yes",Sum!$G404="Fees",Sum!N$397=M$5),Sum!N404,0)</f>
        <v>0</v>
      </c>
      <c r="N199" s="13">
        <f>IF(AND(Sum!$F404="Yes",Sum!$G404="Fees",Sum!O$397=N$5),Sum!O404,0)</f>
        <v>0</v>
      </c>
      <c r="O199" s="13">
        <f>IF(AND(Sum!$F404="Yes",Sum!$G404="Fees",Sum!P$397=O$5),Sum!P404,0)</f>
        <v>0</v>
      </c>
      <c r="P199" s="13">
        <f>IF(AND(Sum!$F404="Yes",Sum!$G404="Fees",Sum!Q$397=P$5),Sum!Q404,0)</f>
        <v>0</v>
      </c>
      <c r="Q199" s="264" t="str">
        <f>IF(AND(Sum!$F404="Yes",Sum!$G404="Fees"),Sum!$E404,"")</f>
        <v/>
      </c>
    </row>
    <row r="200" spans="1:17" ht="12.75" customHeight="1" x14ac:dyDescent="0.25">
      <c r="A200" s="18"/>
      <c r="B200" s="306" t="str">
        <f>IF(AND(Sum!$F405="Yes",Sum!$G405="Fees"),Sum!$B405,"")</f>
        <v/>
      </c>
      <c r="C200" s="13"/>
      <c r="D200" s="13"/>
      <c r="E200" s="13"/>
      <c r="F200" s="13"/>
      <c r="G200" s="153">
        <f>IF(AND(Sum!$F405="Yes",Sum!$G405="Fees",Sum!H$397=G$5),Sum!H405,0)</f>
        <v>0</v>
      </c>
      <c r="H200" s="13">
        <f>IF(AND(Sum!$F405="Yes",Sum!$G405="Fees",Sum!I$397=H$5),Sum!I405,0)</f>
        <v>0</v>
      </c>
      <c r="I200" s="13">
        <f>IF(AND(Sum!$F405="Yes",Sum!$G405="Fees",Sum!J$397=I$5),Sum!J405,0)</f>
        <v>0</v>
      </c>
      <c r="J200" s="13">
        <f>IF(AND(Sum!$F405="Yes",Sum!$G405="Fees",Sum!K$397=J$5),Sum!K405,0)</f>
        <v>0</v>
      </c>
      <c r="K200" s="13">
        <f>IF(AND(Sum!$F405="Yes",Sum!$G405="Fees",Sum!L$397=K$5),Sum!L405,0)</f>
        <v>0</v>
      </c>
      <c r="L200" s="13">
        <f>IF(AND(Sum!$F405="Yes",Sum!$G405="Fees",Sum!M$397=L$5),Sum!M405,0)</f>
        <v>0</v>
      </c>
      <c r="M200" s="13">
        <f>IF(AND(Sum!$F405="Yes",Sum!$G405="Fees",Sum!N$397=M$5),Sum!N405,0)</f>
        <v>0</v>
      </c>
      <c r="N200" s="13">
        <f>IF(AND(Sum!$F405="Yes",Sum!$G405="Fees",Sum!O$397=N$5),Sum!O405,0)</f>
        <v>0</v>
      </c>
      <c r="O200" s="13">
        <f>IF(AND(Sum!$F405="Yes",Sum!$G405="Fees",Sum!P$397=O$5),Sum!P405,0)</f>
        <v>0</v>
      </c>
      <c r="P200" s="13">
        <f>IF(AND(Sum!$F405="Yes",Sum!$G405="Fees",Sum!Q$397=P$5),Sum!Q405,0)</f>
        <v>0</v>
      </c>
      <c r="Q200" s="264" t="str">
        <f>IF(AND(Sum!$F405="Yes",Sum!$G405="Fees"),Sum!$E405,"")</f>
        <v/>
      </c>
    </row>
    <row r="201" spans="1:17" ht="12.75" customHeight="1" x14ac:dyDescent="0.25">
      <c r="A201" s="18"/>
      <c r="B201" s="306" t="str">
        <f>IF(AND(Sum!$F406="Yes",Sum!$G406="Fees"),Sum!$B406,"")</f>
        <v/>
      </c>
      <c r="C201" s="13"/>
      <c r="D201" s="13"/>
      <c r="E201" s="13"/>
      <c r="F201" s="13"/>
      <c r="G201" s="153">
        <f>IF(AND(Sum!$F406="Yes",Sum!$G406="Fees",Sum!H$397=G$5),Sum!H406,0)</f>
        <v>0</v>
      </c>
      <c r="H201" s="13">
        <f>IF(AND(Sum!$F406="Yes",Sum!$G406="Fees",Sum!I$397=H$5),Sum!I406,0)</f>
        <v>0</v>
      </c>
      <c r="I201" s="13">
        <f>IF(AND(Sum!$F406="Yes",Sum!$G406="Fees",Sum!J$397=I$5),Sum!J406,0)</f>
        <v>0</v>
      </c>
      <c r="J201" s="13">
        <f>IF(AND(Sum!$F406="Yes",Sum!$G406="Fees",Sum!K$397=J$5),Sum!K406,0)</f>
        <v>0</v>
      </c>
      <c r="K201" s="13">
        <f>IF(AND(Sum!$F406="Yes",Sum!$G406="Fees",Sum!L$397=K$5),Sum!L406,0)</f>
        <v>0</v>
      </c>
      <c r="L201" s="13">
        <f>IF(AND(Sum!$F406="Yes",Sum!$G406="Fees",Sum!M$397=L$5),Sum!M406,0)</f>
        <v>0</v>
      </c>
      <c r="M201" s="13">
        <f>IF(AND(Sum!$F406="Yes",Sum!$G406="Fees",Sum!N$397=M$5),Sum!N406,0)</f>
        <v>0</v>
      </c>
      <c r="N201" s="13">
        <f>IF(AND(Sum!$F406="Yes",Sum!$G406="Fees",Sum!O$397=N$5),Sum!O406,0)</f>
        <v>0</v>
      </c>
      <c r="O201" s="13">
        <f>IF(AND(Sum!$F406="Yes",Sum!$G406="Fees",Sum!P$397=O$5),Sum!P406,0)</f>
        <v>0</v>
      </c>
      <c r="P201" s="13">
        <f>IF(AND(Sum!$F406="Yes",Sum!$G406="Fees",Sum!Q$397=P$5),Sum!Q406,0)</f>
        <v>0</v>
      </c>
      <c r="Q201" s="264" t="str">
        <f>IF(AND(Sum!$F406="Yes",Sum!$G406="Fees"),Sum!$E406,"")</f>
        <v/>
      </c>
    </row>
    <row r="202" spans="1:17" ht="12.75" customHeight="1" x14ac:dyDescent="0.25">
      <c r="A202" s="18"/>
      <c r="B202" s="306" t="str">
        <f>IF(AND(Sum!$F407="Yes",Sum!$G407="Fees"),Sum!$B407,"")</f>
        <v/>
      </c>
      <c r="C202" s="13"/>
      <c r="D202" s="13"/>
      <c r="E202" s="13"/>
      <c r="F202" s="13"/>
      <c r="G202" s="153">
        <f>IF(AND(Sum!$F407="Yes",Sum!$G407="Fees",Sum!H$397=G$5),Sum!H407,0)</f>
        <v>0</v>
      </c>
      <c r="H202" s="13">
        <f>IF(AND(Sum!$F407="Yes",Sum!$G407="Fees",Sum!I$397=H$5),Sum!I407,0)</f>
        <v>0</v>
      </c>
      <c r="I202" s="13">
        <f>IF(AND(Sum!$F407="Yes",Sum!$G407="Fees",Sum!J$397=I$5),Sum!J407,0)</f>
        <v>0</v>
      </c>
      <c r="J202" s="13">
        <f>IF(AND(Sum!$F407="Yes",Sum!$G407="Fees",Sum!K$397=J$5),Sum!K407,0)</f>
        <v>0</v>
      </c>
      <c r="K202" s="13">
        <f>IF(AND(Sum!$F407="Yes",Sum!$G407="Fees",Sum!L$397=K$5),Sum!L407,0)</f>
        <v>0</v>
      </c>
      <c r="L202" s="13">
        <f>IF(AND(Sum!$F407="Yes",Sum!$G407="Fees",Sum!M$397=L$5),Sum!M407,0)</f>
        <v>0</v>
      </c>
      <c r="M202" s="13">
        <f>IF(AND(Sum!$F407="Yes",Sum!$G407="Fees",Sum!N$397=M$5),Sum!N407,0)</f>
        <v>0</v>
      </c>
      <c r="N202" s="13">
        <f>IF(AND(Sum!$F407="Yes",Sum!$G407="Fees",Sum!O$397=N$5),Sum!O407,0)</f>
        <v>0</v>
      </c>
      <c r="O202" s="13">
        <f>IF(AND(Sum!$F407="Yes",Sum!$G407="Fees",Sum!P$397=O$5),Sum!P407,0)</f>
        <v>0</v>
      </c>
      <c r="P202" s="13">
        <f>IF(AND(Sum!$F407="Yes",Sum!$G407="Fees",Sum!Q$397=P$5),Sum!Q407,0)</f>
        <v>0</v>
      </c>
      <c r="Q202" s="264" t="str">
        <f>IF(AND(Sum!$F407="Yes",Sum!$G407="Fees"),Sum!$E407,"")</f>
        <v/>
      </c>
    </row>
    <row r="203" spans="1:17" ht="12.75" customHeight="1" x14ac:dyDescent="0.25">
      <c r="A203" s="18"/>
      <c r="B203" s="306" t="str">
        <f>IF(AND(Sum!$F408="Yes",Sum!$G408="Fees"),Sum!$B408,"")</f>
        <v/>
      </c>
      <c r="C203" s="13"/>
      <c r="D203" s="13"/>
      <c r="E203" s="13"/>
      <c r="F203" s="13"/>
      <c r="G203" s="153">
        <f>IF(AND(Sum!$F408="Yes",Sum!$G408="Fees",Sum!H$397=G$5),Sum!H408,0)</f>
        <v>0</v>
      </c>
      <c r="H203" s="13">
        <f>IF(AND(Sum!$F408="Yes",Sum!$G408="Fees",Sum!I$397=H$5),Sum!I408,0)</f>
        <v>0</v>
      </c>
      <c r="I203" s="13">
        <f>IF(AND(Sum!$F408="Yes",Sum!$G408="Fees",Sum!J$397=I$5),Sum!J408,0)</f>
        <v>0</v>
      </c>
      <c r="J203" s="13">
        <f>IF(AND(Sum!$F408="Yes",Sum!$G408="Fees",Sum!K$397=J$5),Sum!K408,0)</f>
        <v>0</v>
      </c>
      <c r="K203" s="13">
        <f>IF(AND(Sum!$F408="Yes",Sum!$G408="Fees",Sum!L$397=K$5),Sum!L408,0)</f>
        <v>0</v>
      </c>
      <c r="L203" s="13">
        <f>IF(AND(Sum!$F408="Yes",Sum!$G408="Fees",Sum!M$397=L$5),Sum!M408,0)</f>
        <v>0</v>
      </c>
      <c r="M203" s="13">
        <f>IF(AND(Sum!$F408="Yes",Sum!$G408="Fees",Sum!N$397=M$5),Sum!N408,0)</f>
        <v>0</v>
      </c>
      <c r="N203" s="13">
        <f>IF(AND(Sum!$F408="Yes",Sum!$G408="Fees",Sum!O$397=N$5),Sum!O408,0)</f>
        <v>0</v>
      </c>
      <c r="O203" s="13">
        <f>IF(AND(Sum!$F408="Yes",Sum!$G408="Fees",Sum!P$397=O$5),Sum!P408,0)</f>
        <v>0</v>
      </c>
      <c r="P203" s="13">
        <f>IF(AND(Sum!$F408="Yes",Sum!$G408="Fees",Sum!Q$397=P$5),Sum!Q408,0)</f>
        <v>0</v>
      </c>
      <c r="Q203" s="264" t="str">
        <f>IF(AND(Sum!$F408="Yes",Sum!$G408="Fees"),Sum!$E408,"")</f>
        <v/>
      </c>
    </row>
    <row r="204" spans="1:17" ht="12.75" customHeight="1" x14ac:dyDescent="0.25">
      <c r="A204" s="18"/>
      <c r="B204" s="306" t="str">
        <f>IF(AND(Sum!$F409="Yes",Sum!$G409="Fees"),Sum!$B409,"")</f>
        <v/>
      </c>
      <c r="C204" s="13"/>
      <c r="D204" s="13"/>
      <c r="E204" s="13"/>
      <c r="F204" s="13"/>
      <c r="G204" s="153">
        <f>IF(AND(Sum!$F409="Yes",Sum!$G409="Fees",Sum!H$397=G$5),Sum!H409,0)</f>
        <v>0</v>
      </c>
      <c r="H204" s="13">
        <f>IF(AND(Sum!$F409="Yes",Sum!$G409="Fees",Sum!I$397=H$5),Sum!I409,0)</f>
        <v>0</v>
      </c>
      <c r="I204" s="13">
        <f>IF(AND(Sum!$F409="Yes",Sum!$G409="Fees",Sum!J$397=I$5),Sum!J409,0)</f>
        <v>0</v>
      </c>
      <c r="J204" s="13">
        <f>IF(AND(Sum!$F409="Yes",Sum!$G409="Fees",Sum!K$397=J$5),Sum!K409,0)</f>
        <v>0</v>
      </c>
      <c r="K204" s="13">
        <f>IF(AND(Sum!$F409="Yes",Sum!$G409="Fees",Sum!L$397=K$5),Sum!L409,0)</f>
        <v>0</v>
      </c>
      <c r="L204" s="13">
        <f>IF(AND(Sum!$F409="Yes",Sum!$G409="Fees",Sum!M$397=L$5),Sum!M409,0)</f>
        <v>0</v>
      </c>
      <c r="M204" s="13">
        <f>IF(AND(Sum!$F409="Yes",Sum!$G409="Fees",Sum!N$397=M$5),Sum!N409,0)</f>
        <v>0</v>
      </c>
      <c r="N204" s="13">
        <f>IF(AND(Sum!$F409="Yes",Sum!$G409="Fees",Sum!O$397=N$5),Sum!O409,0)</f>
        <v>0</v>
      </c>
      <c r="O204" s="13">
        <f>IF(AND(Sum!$F409="Yes",Sum!$G409="Fees",Sum!P$397=O$5),Sum!P409,0)</f>
        <v>0</v>
      </c>
      <c r="P204" s="13">
        <f>IF(AND(Sum!$F409="Yes",Sum!$G409="Fees",Sum!Q$397=P$5),Sum!Q409,0)</f>
        <v>0</v>
      </c>
      <c r="Q204" s="264" t="str">
        <f>IF(AND(Sum!$F409="Yes",Sum!$G409="Fees"),Sum!$E409,"")</f>
        <v/>
      </c>
    </row>
    <row r="205" spans="1:17" ht="12.75" customHeight="1" x14ac:dyDescent="0.25">
      <c r="A205" s="18"/>
      <c r="B205" s="306" t="str">
        <f>IF(AND(Sum!$F410="Yes",Sum!$G410="Fees"),Sum!$B410,"")</f>
        <v/>
      </c>
      <c r="C205" s="13"/>
      <c r="D205" s="13"/>
      <c r="E205" s="13"/>
      <c r="F205" s="13"/>
      <c r="G205" s="153">
        <f>IF(AND(Sum!$F410="Yes",Sum!$G410="Fees",Sum!H$397=G$5),Sum!H410,0)</f>
        <v>0</v>
      </c>
      <c r="H205" s="13">
        <f>IF(AND(Sum!$F410="Yes",Sum!$G410="Fees",Sum!I$397=H$5),Sum!I410,0)</f>
        <v>0</v>
      </c>
      <c r="I205" s="13">
        <f>IF(AND(Sum!$F410="Yes",Sum!$G410="Fees",Sum!J$397=I$5),Sum!J410,0)</f>
        <v>0</v>
      </c>
      <c r="J205" s="13">
        <f>IF(AND(Sum!$F410="Yes",Sum!$G410="Fees",Sum!K$397=J$5),Sum!K410,0)</f>
        <v>0</v>
      </c>
      <c r="K205" s="13">
        <f>IF(AND(Sum!$F410="Yes",Sum!$G410="Fees",Sum!L$397=K$5),Sum!L410,0)</f>
        <v>0</v>
      </c>
      <c r="L205" s="13">
        <f>IF(AND(Sum!$F410="Yes",Sum!$G410="Fees",Sum!M$397=L$5),Sum!M410,0)</f>
        <v>0</v>
      </c>
      <c r="M205" s="13">
        <f>IF(AND(Sum!$F410="Yes",Sum!$G410="Fees",Sum!N$397=M$5),Sum!N410,0)</f>
        <v>0</v>
      </c>
      <c r="N205" s="13">
        <f>IF(AND(Sum!$F410="Yes",Sum!$G410="Fees",Sum!O$397=N$5),Sum!O410,0)</f>
        <v>0</v>
      </c>
      <c r="O205" s="13">
        <f>IF(AND(Sum!$F410="Yes",Sum!$G410="Fees",Sum!P$397=O$5),Sum!P410,0)</f>
        <v>0</v>
      </c>
      <c r="P205" s="13">
        <f>IF(AND(Sum!$F410="Yes",Sum!$G410="Fees",Sum!Q$397=P$5),Sum!Q410,0)</f>
        <v>0</v>
      </c>
      <c r="Q205" s="264" t="str">
        <f>IF(AND(Sum!$F410="Yes",Sum!$G410="Fees"),Sum!$E410,"")</f>
        <v/>
      </c>
    </row>
    <row r="206" spans="1:17" ht="12.75" customHeight="1" x14ac:dyDescent="0.25">
      <c r="A206" s="18"/>
      <c r="B206" s="306" t="str">
        <f>IF(AND(Sum!$F411="Yes",Sum!$G411="Fees"),Sum!$B411,"")</f>
        <v/>
      </c>
      <c r="C206" s="13"/>
      <c r="D206" s="13"/>
      <c r="E206" s="13"/>
      <c r="F206" s="13"/>
      <c r="G206" s="153">
        <f>IF(AND(Sum!$F411="Yes",Sum!$G411="Fees",Sum!H$397=G$5),Sum!H411,0)</f>
        <v>0</v>
      </c>
      <c r="H206" s="13">
        <f>IF(AND(Sum!$F411="Yes",Sum!$G411="Fees",Sum!I$397=H$5),Sum!I411,0)</f>
        <v>0</v>
      </c>
      <c r="I206" s="13">
        <f>IF(AND(Sum!$F411="Yes",Sum!$G411="Fees",Sum!J$397=I$5),Sum!J411,0)</f>
        <v>0</v>
      </c>
      <c r="J206" s="13">
        <f>IF(AND(Sum!$F411="Yes",Sum!$G411="Fees",Sum!K$397=J$5),Sum!K411,0)</f>
        <v>0</v>
      </c>
      <c r="K206" s="13">
        <f>IF(AND(Sum!$F411="Yes",Sum!$G411="Fees",Sum!L$397=K$5),Sum!L411,0)</f>
        <v>0</v>
      </c>
      <c r="L206" s="13">
        <f>IF(AND(Sum!$F411="Yes",Sum!$G411="Fees",Sum!M$397=L$5),Sum!M411,0)</f>
        <v>0</v>
      </c>
      <c r="M206" s="13">
        <f>IF(AND(Sum!$F411="Yes",Sum!$G411="Fees",Sum!N$397=M$5),Sum!N411,0)</f>
        <v>0</v>
      </c>
      <c r="N206" s="13">
        <f>IF(AND(Sum!$F411="Yes",Sum!$G411="Fees",Sum!O$397=N$5),Sum!O411,0)</f>
        <v>0</v>
      </c>
      <c r="O206" s="13">
        <f>IF(AND(Sum!$F411="Yes",Sum!$G411="Fees",Sum!P$397=O$5),Sum!P411,0)</f>
        <v>0</v>
      </c>
      <c r="P206" s="13">
        <f>IF(AND(Sum!$F411="Yes",Sum!$G411="Fees",Sum!Q$397=P$5),Sum!Q411,0)</f>
        <v>0</v>
      </c>
      <c r="Q206" s="264" t="str">
        <f>IF(AND(Sum!$F411="Yes",Sum!$G411="Fees"),Sum!$E411,"")</f>
        <v/>
      </c>
    </row>
    <row r="207" spans="1:17" ht="12.75" customHeight="1" x14ac:dyDescent="0.25">
      <c r="A207" s="18"/>
      <c r="B207" s="306" t="str">
        <f>IF(AND(Sum!$F412="Yes",Sum!$G412="Fees"),Sum!$B412,"")</f>
        <v/>
      </c>
      <c r="C207" s="13"/>
      <c r="D207" s="13"/>
      <c r="E207" s="13"/>
      <c r="F207" s="13"/>
      <c r="G207" s="153">
        <f>IF(AND(Sum!$F412="Yes",Sum!$G412="Fees",Sum!H$397=G$5),Sum!H412,0)</f>
        <v>0</v>
      </c>
      <c r="H207" s="13">
        <f>IF(AND(Sum!$F412="Yes",Sum!$G412="Fees",Sum!I$397=H$5),Sum!I412,0)</f>
        <v>0</v>
      </c>
      <c r="I207" s="13">
        <f>IF(AND(Sum!$F412="Yes",Sum!$G412="Fees",Sum!J$397=I$5),Sum!J412,0)</f>
        <v>0</v>
      </c>
      <c r="J207" s="13">
        <f>IF(AND(Sum!$F412="Yes",Sum!$G412="Fees",Sum!K$397=J$5),Sum!K412,0)</f>
        <v>0</v>
      </c>
      <c r="K207" s="13">
        <f>IF(AND(Sum!$F412="Yes",Sum!$G412="Fees",Sum!L$397=K$5),Sum!L412,0)</f>
        <v>0</v>
      </c>
      <c r="L207" s="13">
        <f>IF(AND(Sum!$F412="Yes",Sum!$G412="Fees",Sum!M$397=L$5),Sum!M412,0)</f>
        <v>0</v>
      </c>
      <c r="M207" s="13">
        <f>IF(AND(Sum!$F412="Yes",Sum!$G412="Fees",Sum!N$397=M$5),Sum!N412,0)</f>
        <v>0</v>
      </c>
      <c r="N207" s="13">
        <f>IF(AND(Sum!$F412="Yes",Sum!$G412="Fees",Sum!O$397=N$5),Sum!O412,0)</f>
        <v>0</v>
      </c>
      <c r="O207" s="13">
        <f>IF(AND(Sum!$F412="Yes",Sum!$G412="Fees",Sum!P$397=O$5),Sum!P412,0)</f>
        <v>0</v>
      </c>
      <c r="P207" s="13">
        <f>IF(AND(Sum!$F412="Yes",Sum!$G412="Fees",Sum!Q$397=P$5),Sum!Q412,0)</f>
        <v>0</v>
      </c>
      <c r="Q207" s="264" t="str">
        <f>IF(AND(Sum!$F412="Yes",Sum!$G412="Fees"),Sum!$E412,"")</f>
        <v/>
      </c>
    </row>
    <row r="208" spans="1:17" ht="12.75" customHeight="1" x14ac:dyDescent="0.25">
      <c r="A208" s="18"/>
      <c r="B208" s="306" t="str">
        <f>IF(AND(Sum!$F413="Yes",Sum!$G413="Fees"),Sum!$B413,"")</f>
        <v/>
      </c>
      <c r="C208" s="13"/>
      <c r="D208" s="13"/>
      <c r="E208" s="13"/>
      <c r="F208" s="13"/>
      <c r="G208" s="153">
        <f>IF(AND(Sum!$F413="Yes",Sum!$G413="Fees",Sum!H$397=G$5),Sum!H413,0)</f>
        <v>0</v>
      </c>
      <c r="H208" s="13">
        <f>IF(AND(Sum!$F413="Yes",Sum!$G413="Fees",Sum!I$397=H$5),Sum!I413,0)</f>
        <v>0</v>
      </c>
      <c r="I208" s="13">
        <f>IF(AND(Sum!$F413="Yes",Sum!$G413="Fees",Sum!J$397=I$5),Sum!J413,0)</f>
        <v>0</v>
      </c>
      <c r="J208" s="13">
        <f>IF(AND(Sum!$F413="Yes",Sum!$G413="Fees",Sum!K$397=J$5),Sum!K413,0)</f>
        <v>0</v>
      </c>
      <c r="K208" s="13">
        <f>IF(AND(Sum!$F413="Yes",Sum!$G413="Fees",Sum!L$397=K$5),Sum!L413,0)</f>
        <v>0</v>
      </c>
      <c r="L208" s="13">
        <f>IF(AND(Sum!$F413="Yes",Sum!$G413="Fees",Sum!M$397=L$5),Sum!M413,0)</f>
        <v>0</v>
      </c>
      <c r="M208" s="13">
        <f>IF(AND(Sum!$F413="Yes",Sum!$G413="Fees",Sum!N$397=M$5),Sum!N413,0)</f>
        <v>0</v>
      </c>
      <c r="N208" s="13">
        <f>IF(AND(Sum!$F413="Yes",Sum!$G413="Fees",Sum!O$397=N$5),Sum!O413,0)</f>
        <v>0</v>
      </c>
      <c r="O208" s="13">
        <f>IF(AND(Sum!$F413="Yes",Sum!$G413="Fees",Sum!P$397=O$5),Sum!P413,0)</f>
        <v>0</v>
      </c>
      <c r="P208" s="13">
        <f>IF(AND(Sum!$F413="Yes",Sum!$G413="Fees",Sum!Q$397=P$5),Sum!Q413,0)</f>
        <v>0</v>
      </c>
      <c r="Q208" s="264" t="str">
        <f>IF(AND(Sum!$F413="Yes",Sum!$G413="Fees"),Sum!$E413,"")</f>
        <v/>
      </c>
    </row>
    <row r="209" spans="1:17" ht="12.75" customHeight="1" x14ac:dyDescent="0.25">
      <c r="A209" s="18"/>
      <c r="B209" s="306" t="str">
        <f>IF(AND(Sum!$F414="Yes",Sum!$G414="Fees"),Sum!$B414,"")</f>
        <v/>
      </c>
      <c r="C209" s="13"/>
      <c r="D209" s="13"/>
      <c r="E209" s="13"/>
      <c r="F209" s="13"/>
      <c r="G209" s="153">
        <f>IF(AND(Sum!$F414="Yes",Sum!$G414="Fees",Sum!H$397=G$5),Sum!H414,0)</f>
        <v>0</v>
      </c>
      <c r="H209" s="13">
        <f>IF(AND(Sum!$F414="Yes",Sum!$G414="Fees",Sum!I$397=H$5),Sum!I414,0)</f>
        <v>0</v>
      </c>
      <c r="I209" s="13">
        <f>IF(AND(Sum!$F414="Yes",Sum!$G414="Fees",Sum!J$397=I$5),Sum!J414,0)</f>
        <v>0</v>
      </c>
      <c r="J209" s="13">
        <f>IF(AND(Sum!$F414="Yes",Sum!$G414="Fees",Sum!K$397=J$5),Sum!K414,0)</f>
        <v>0</v>
      </c>
      <c r="K209" s="13">
        <f>IF(AND(Sum!$F414="Yes",Sum!$G414="Fees",Sum!L$397=K$5),Sum!L414,0)</f>
        <v>0</v>
      </c>
      <c r="L209" s="13">
        <f>IF(AND(Sum!$F414="Yes",Sum!$G414="Fees",Sum!M$397=L$5),Sum!M414,0)</f>
        <v>0</v>
      </c>
      <c r="M209" s="13">
        <f>IF(AND(Sum!$F414="Yes",Sum!$G414="Fees",Sum!N$397=M$5),Sum!N414,0)</f>
        <v>0</v>
      </c>
      <c r="N209" s="13">
        <f>IF(AND(Sum!$F414="Yes",Sum!$G414="Fees",Sum!O$397=N$5),Sum!O414,0)</f>
        <v>0</v>
      </c>
      <c r="O209" s="13">
        <f>IF(AND(Sum!$F414="Yes",Sum!$G414="Fees",Sum!P$397=O$5),Sum!P414,0)</f>
        <v>0</v>
      </c>
      <c r="P209" s="13">
        <f>IF(AND(Sum!$F414="Yes",Sum!$G414="Fees",Sum!Q$397=P$5),Sum!Q414,0)</f>
        <v>0</v>
      </c>
      <c r="Q209" s="264" t="str">
        <f>IF(AND(Sum!$F414="Yes",Sum!$G414="Fees"),Sum!$E414,"")</f>
        <v/>
      </c>
    </row>
    <row r="210" spans="1:17" ht="12.75" customHeight="1" x14ac:dyDescent="0.25">
      <c r="A210" s="18"/>
      <c r="B210" s="306" t="str">
        <f>IF(AND(Sum!$F415="Yes",Sum!$G415="Fees"),Sum!$B415,"")</f>
        <v/>
      </c>
      <c r="C210" s="13"/>
      <c r="D210" s="13"/>
      <c r="E210" s="13"/>
      <c r="F210" s="13"/>
      <c r="G210" s="153">
        <f>IF(AND(Sum!$F415="Yes",Sum!$G415="Fees",Sum!H$397=G$5),Sum!H415,0)</f>
        <v>0</v>
      </c>
      <c r="H210" s="13">
        <f>IF(AND(Sum!$F415="Yes",Sum!$G415="Fees",Sum!I$397=H$5),Sum!I415,0)</f>
        <v>0</v>
      </c>
      <c r="I210" s="13">
        <f>IF(AND(Sum!$F415="Yes",Sum!$G415="Fees",Sum!J$397=I$5),Sum!J415,0)</f>
        <v>0</v>
      </c>
      <c r="J210" s="13">
        <f>IF(AND(Sum!$F415="Yes",Sum!$G415="Fees",Sum!K$397=J$5),Sum!K415,0)</f>
        <v>0</v>
      </c>
      <c r="K210" s="13">
        <f>IF(AND(Sum!$F415="Yes",Sum!$G415="Fees",Sum!L$397=K$5),Sum!L415,0)</f>
        <v>0</v>
      </c>
      <c r="L210" s="13">
        <f>IF(AND(Sum!$F415="Yes",Sum!$G415="Fees",Sum!M$397=L$5),Sum!M415,0)</f>
        <v>0</v>
      </c>
      <c r="M210" s="13">
        <f>IF(AND(Sum!$F415="Yes",Sum!$G415="Fees",Sum!N$397=M$5),Sum!N415,0)</f>
        <v>0</v>
      </c>
      <c r="N210" s="13">
        <f>IF(AND(Sum!$F415="Yes",Sum!$G415="Fees",Sum!O$397=N$5),Sum!O415,0)</f>
        <v>0</v>
      </c>
      <c r="O210" s="13">
        <f>IF(AND(Sum!$F415="Yes",Sum!$G415="Fees",Sum!P$397=O$5),Sum!P415,0)</f>
        <v>0</v>
      </c>
      <c r="P210" s="13">
        <f>IF(AND(Sum!$F415="Yes",Sum!$G415="Fees",Sum!Q$397=P$5),Sum!Q415,0)</f>
        <v>0</v>
      </c>
      <c r="Q210" s="264" t="str">
        <f>IF(AND(Sum!$F415="Yes",Sum!$G415="Fees"),Sum!$E415,"")</f>
        <v/>
      </c>
    </row>
    <row r="211" spans="1:17" ht="12.75" customHeight="1" x14ac:dyDescent="0.25">
      <c r="A211" s="18"/>
      <c r="B211" s="306" t="str">
        <f>IF(AND(Sum!$F416="Yes",Sum!$G416="Fees"),Sum!$B416,"")</f>
        <v/>
      </c>
      <c r="C211" s="13"/>
      <c r="D211" s="13"/>
      <c r="E211" s="13"/>
      <c r="F211" s="13"/>
      <c r="G211" s="153">
        <f>IF(AND(Sum!$F416="Yes",Sum!$G416="Fees",Sum!H$397=G$5),Sum!H416,0)</f>
        <v>0</v>
      </c>
      <c r="H211" s="13">
        <f>IF(AND(Sum!$F416="Yes",Sum!$G416="Fees",Sum!I$397=H$5),Sum!I416,0)</f>
        <v>0</v>
      </c>
      <c r="I211" s="13">
        <f>IF(AND(Sum!$F416="Yes",Sum!$G416="Fees",Sum!J$397=I$5),Sum!J416,0)</f>
        <v>0</v>
      </c>
      <c r="J211" s="13">
        <f>IF(AND(Sum!$F416="Yes",Sum!$G416="Fees",Sum!K$397=J$5),Sum!K416,0)</f>
        <v>0</v>
      </c>
      <c r="K211" s="13">
        <f>IF(AND(Sum!$F416="Yes",Sum!$G416="Fees",Sum!L$397=K$5),Sum!L416,0)</f>
        <v>0</v>
      </c>
      <c r="L211" s="13">
        <f>IF(AND(Sum!$F416="Yes",Sum!$G416="Fees",Sum!M$397=L$5),Sum!M416,0)</f>
        <v>0</v>
      </c>
      <c r="M211" s="13">
        <f>IF(AND(Sum!$F416="Yes",Sum!$G416="Fees",Sum!N$397=M$5),Sum!N416,0)</f>
        <v>0</v>
      </c>
      <c r="N211" s="13">
        <f>IF(AND(Sum!$F416="Yes",Sum!$G416="Fees",Sum!O$397=N$5),Sum!O416,0)</f>
        <v>0</v>
      </c>
      <c r="O211" s="13">
        <f>IF(AND(Sum!$F416="Yes",Sum!$G416="Fees",Sum!P$397=O$5),Sum!P416,0)</f>
        <v>0</v>
      </c>
      <c r="P211" s="13">
        <f>IF(AND(Sum!$F416="Yes",Sum!$G416="Fees",Sum!Q$397=P$5),Sum!Q416,0)</f>
        <v>0</v>
      </c>
      <c r="Q211" s="264" t="str">
        <f>IF(AND(Sum!$F416="Yes",Sum!$G416="Fees"),Sum!$E416,"")</f>
        <v/>
      </c>
    </row>
    <row r="212" spans="1:17" ht="12.75" customHeight="1" x14ac:dyDescent="0.25">
      <c r="A212" s="18"/>
      <c r="B212" s="306" t="str">
        <f>IF(AND(Sum!$F417="Yes",Sum!$G417="Fees"),Sum!$B417,"")</f>
        <v/>
      </c>
      <c r="C212" s="13"/>
      <c r="D212" s="13"/>
      <c r="E212" s="13"/>
      <c r="F212" s="13"/>
      <c r="G212" s="153">
        <f>IF(AND(Sum!$F417="Yes",Sum!$G417="Fees",Sum!H$397=G$5),Sum!H417,0)</f>
        <v>0</v>
      </c>
      <c r="H212" s="13">
        <f>IF(AND(Sum!$F417="Yes",Sum!$G417="Fees",Sum!I$397=H$5),Sum!I417,0)</f>
        <v>0</v>
      </c>
      <c r="I212" s="13">
        <f>IF(AND(Sum!$F417="Yes",Sum!$G417="Fees",Sum!J$397=I$5),Sum!J417,0)</f>
        <v>0</v>
      </c>
      <c r="J212" s="13">
        <f>IF(AND(Sum!$F417="Yes",Sum!$G417="Fees",Sum!K$397=J$5),Sum!K417,0)</f>
        <v>0</v>
      </c>
      <c r="K212" s="13">
        <f>IF(AND(Sum!$F417="Yes",Sum!$G417="Fees",Sum!L$397=K$5),Sum!L417,0)</f>
        <v>0</v>
      </c>
      <c r="L212" s="13">
        <f>IF(AND(Sum!$F417="Yes",Sum!$G417="Fees",Sum!M$397=L$5),Sum!M417,0)</f>
        <v>0</v>
      </c>
      <c r="M212" s="13">
        <f>IF(AND(Sum!$F417="Yes",Sum!$G417="Fees",Sum!N$397=M$5),Sum!N417,0)</f>
        <v>0</v>
      </c>
      <c r="N212" s="13">
        <f>IF(AND(Sum!$F417="Yes",Sum!$G417="Fees",Sum!O$397=N$5),Sum!O417,0)</f>
        <v>0</v>
      </c>
      <c r="O212" s="13">
        <f>IF(AND(Sum!$F417="Yes",Sum!$G417="Fees",Sum!P$397=O$5),Sum!P417,0)</f>
        <v>0</v>
      </c>
      <c r="P212" s="13">
        <f>IF(AND(Sum!$F417="Yes",Sum!$G417="Fees",Sum!Q$397=P$5),Sum!Q417,0)</f>
        <v>0</v>
      </c>
      <c r="Q212" s="264" t="str">
        <f>IF(AND(Sum!$F417="Yes",Sum!$G417="Fees"),Sum!$E417,"")</f>
        <v/>
      </c>
    </row>
    <row r="213" spans="1:17" ht="12.75" customHeight="1" x14ac:dyDescent="0.25">
      <c r="A213" s="18"/>
      <c r="B213" s="306" t="str">
        <f>IF(AND(Sum!$F418="Yes",Sum!$G418="Fees"),Sum!$B418,"")</f>
        <v/>
      </c>
      <c r="C213" s="13"/>
      <c r="D213" s="13"/>
      <c r="E213" s="13"/>
      <c r="F213" s="13"/>
      <c r="G213" s="153">
        <f>IF(AND(Sum!$F418="Yes",Sum!$G418="Fees",Sum!H$397=G$5),Sum!H418,0)</f>
        <v>0</v>
      </c>
      <c r="H213" s="13">
        <f>IF(AND(Sum!$F418="Yes",Sum!$G418="Fees",Sum!I$397=H$5),Sum!I418,0)</f>
        <v>0</v>
      </c>
      <c r="I213" s="13">
        <f>IF(AND(Sum!$F418="Yes",Sum!$G418="Fees",Sum!J$397=I$5),Sum!J418,0)</f>
        <v>0</v>
      </c>
      <c r="J213" s="13">
        <f>IF(AND(Sum!$F418="Yes",Sum!$G418="Fees",Sum!K$397=J$5),Sum!K418,0)</f>
        <v>0</v>
      </c>
      <c r="K213" s="13">
        <f>IF(AND(Sum!$F418="Yes",Sum!$G418="Fees",Sum!L$397=K$5),Sum!L418,0)</f>
        <v>0</v>
      </c>
      <c r="L213" s="13">
        <f>IF(AND(Sum!$F418="Yes",Sum!$G418="Fees",Sum!M$397=L$5),Sum!M418,0)</f>
        <v>0</v>
      </c>
      <c r="M213" s="13">
        <f>IF(AND(Sum!$F418="Yes",Sum!$G418="Fees",Sum!N$397=M$5),Sum!N418,0)</f>
        <v>0</v>
      </c>
      <c r="N213" s="13">
        <f>IF(AND(Sum!$F418="Yes",Sum!$G418="Fees",Sum!O$397=N$5),Sum!O418,0)</f>
        <v>0</v>
      </c>
      <c r="O213" s="13">
        <f>IF(AND(Sum!$F418="Yes",Sum!$G418="Fees",Sum!P$397=O$5),Sum!P418,0)</f>
        <v>0</v>
      </c>
      <c r="P213" s="13">
        <f>IF(AND(Sum!$F418="Yes",Sum!$G418="Fees",Sum!Q$397=P$5),Sum!Q418,0)</f>
        <v>0</v>
      </c>
      <c r="Q213" s="264" t="str">
        <f>IF(AND(Sum!$F418="Yes",Sum!$G418="Fees"),Sum!$E418,"")</f>
        <v/>
      </c>
    </row>
    <row r="214" spans="1:17" ht="12.75" customHeight="1" x14ac:dyDescent="0.25">
      <c r="A214" s="18"/>
      <c r="B214" s="306" t="str">
        <f>IF(AND(Sum!$F419="Yes",Sum!$G419="Fees"),Sum!$B419,"")</f>
        <v/>
      </c>
      <c r="C214" s="13"/>
      <c r="D214" s="13"/>
      <c r="E214" s="13"/>
      <c r="F214" s="13"/>
      <c r="G214" s="153">
        <f>IF(AND(Sum!$F419="Yes",Sum!$G419="Fees",Sum!H$397=G$5),Sum!H419,0)</f>
        <v>0</v>
      </c>
      <c r="H214" s="13">
        <f>IF(AND(Sum!$F419="Yes",Sum!$G419="Fees",Sum!I$397=H$5),Sum!I419,0)</f>
        <v>0</v>
      </c>
      <c r="I214" s="13">
        <f>IF(AND(Sum!$F419="Yes",Sum!$G419="Fees",Sum!J$397=I$5),Sum!J419,0)</f>
        <v>0</v>
      </c>
      <c r="J214" s="13">
        <f>IF(AND(Sum!$F419="Yes",Sum!$G419="Fees",Sum!K$397=J$5),Sum!K419,0)</f>
        <v>0</v>
      </c>
      <c r="K214" s="13">
        <f>IF(AND(Sum!$F419="Yes",Sum!$G419="Fees",Sum!L$397=K$5),Sum!L419,0)</f>
        <v>0</v>
      </c>
      <c r="L214" s="13">
        <f>IF(AND(Sum!$F419="Yes",Sum!$G419="Fees",Sum!M$397=L$5),Sum!M419,0)</f>
        <v>0</v>
      </c>
      <c r="M214" s="13">
        <f>IF(AND(Sum!$F419="Yes",Sum!$G419="Fees",Sum!N$397=M$5),Sum!N419,0)</f>
        <v>0</v>
      </c>
      <c r="N214" s="13">
        <f>IF(AND(Sum!$F419="Yes",Sum!$G419="Fees",Sum!O$397=N$5),Sum!O419,0)</f>
        <v>0</v>
      </c>
      <c r="O214" s="13">
        <f>IF(AND(Sum!$F419="Yes",Sum!$G419="Fees",Sum!P$397=O$5),Sum!P419,0)</f>
        <v>0</v>
      </c>
      <c r="P214" s="13">
        <f>IF(AND(Sum!$F419="Yes",Sum!$G419="Fees",Sum!Q$397=P$5),Sum!Q419,0)</f>
        <v>0</v>
      </c>
      <c r="Q214" s="264" t="str">
        <f>IF(AND(Sum!$F419="Yes",Sum!$G419="Fees"),Sum!$E419,"")</f>
        <v/>
      </c>
    </row>
    <row r="215" spans="1:17" ht="12.75" customHeight="1" x14ac:dyDescent="0.25">
      <c r="A215" s="18"/>
      <c r="B215" s="306" t="str">
        <f>IF(AND(Sum!$F420="Yes",Sum!$G420="Fees"),Sum!$B420,"")</f>
        <v/>
      </c>
      <c r="C215" s="13"/>
      <c r="D215" s="13"/>
      <c r="E215" s="13"/>
      <c r="F215" s="13"/>
      <c r="G215" s="153">
        <f>IF(AND(Sum!$F420="Yes",Sum!$G420="Fees",Sum!H$397=G$5),Sum!H420,0)</f>
        <v>0</v>
      </c>
      <c r="H215" s="13">
        <f>IF(AND(Sum!$F420="Yes",Sum!$G420="Fees",Sum!I$397=H$5),Sum!I420,0)</f>
        <v>0</v>
      </c>
      <c r="I215" s="13">
        <f>IF(AND(Sum!$F420="Yes",Sum!$G420="Fees",Sum!J$397=I$5),Sum!J420,0)</f>
        <v>0</v>
      </c>
      <c r="J215" s="13">
        <f>IF(AND(Sum!$F420="Yes",Sum!$G420="Fees",Sum!K$397=J$5),Sum!K420,0)</f>
        <v>0</v>
      </c>
      <c r="K215" s="13">
        <f>IF(AND(Sum!$F420="Yes",Sum!$G420="Fees",Sum!L$397=K$5),Sum!L420,0)</f>
        <v>0</v>
      </c>
      <c r="L215" s="13">
        <f>IF(AND(Sum!$F420="Yes",Sum!$G420="Fees",Sum!M$397=L$5),Sum!M420,0)</f>
        <v>0</v>
      </c>
      <c r="M215" s="13">
        <f>IF(AND(Sum!$F420="Yes",Sum!$G420="Fees",Sum!N$397=M$5),Sum!N420,0)</f>
        <v>0</v>
      </c>
      <c r="N215" s="13">
        <f>IF(AND(Sum!$F420="Yes",Sum!$G420="Fees",Sum!O$397=N$5),Sum!O420,0)</f>
        <v>0</v>
      </c>
      <c r="O215" s="13">
        <f>IF(AND(Sum!$F420="Yes",Sum!$G420="Fees",Sum!P$397=O$5),Sum!P420,0)</f>
        <v>0</v>
      </c>
      <c r="P215" s="13">
        <f>IF(AND(Sum!$F420="Yes",Sum!$G420="Fees",Sum!Q$397=P$5),Sum!Q420,0)</f>
        <v>0</v>
      </c>
      <c r="Q215" s="264" t="str">
        <f>IF(AND(Sum!$F420="Yes",Sum!$G420="Fees"),Sum!$E420,"")</f>
        <v/>
      </c>
    </row>
    <row r="216" spans="1:17" ht="12.75" customHeight="1" x14ac:dyDescent="0.25">
      <c r="A216" s="18"/>
      <c r="B216" s="306" t="str">
        <f>IF(AND(Sum!$F421="Yes",Sum!$G421="Fees"),Sum!$B421,"")</f>
        <v/>
      </c>
      <c r="C216" s="13"/>
      <c r="D216" s="13"/>
      <c r="E216" s="13"/>
      <c r="F216" s="13"/>
      <c r="G216" s="153">
        <f>IF(AND(Sum!$F421="Yes",Sum!$G421="Fees",Sum!H$397=G$5),Sum!H421,0)</f>
        <v>0</v>
      </c>
      <c r="H216" s="13">
        <f>IF(AND(Sum!$F421="Yes",Sum!$G421="Fees",Sum!I$397=H$5),Sum!I421,0)</f>
        <v>0</v>
      </c>
      <c r="I216" s="13">
        <f>IF(AND(Sum!$F421="Yes",Sum!$G421="Fees",Sum!J$397=I$5),Sum!J421,0)</f>
        <v>0</v>
      </c>
      <c r="J216" s="13">
        <f>IF(AND(Sum!$F421="Yes",Sum!$G421="Fees",Sum!K$397=J$5),Sum!K421,0)</f>
        <v>0</v>
      </c>
      <c r="K216" s="13">
        <f>IF(AND(Sum!$F421="Yes",Sum!$G421="Fees",Sum!L$397=K$5),Sum!L421,0)</f>
        <v>0</v>
      </c>
      <c r="L216" s="13">
        <f>IF(AND(Sum!$F421="Yes",Sum!$G421="Fees",Sum!M$397=L$5),Sum!M421,0)</f>
        <v>0</v>
      </c>
      <c r="M216" s="13">
        <f>IF(AND(Sum!$F421="Yes",Sum!$G421="Fees",Sum!N$397=M$5),Sum!N421,0)</f>
        <v>0</v>
      </c>
      <c r="N216" s="13">
        <f>IF(AND(Sum!$F421="Yes",Sum!$G421="Fees",Sum!O$397=N$5),Sum!O421,0)</f>
        <v>0</v>
      </c>
      <c r="O216" s="13">
        <f>IF(AND(Sum!$F421="Yes",Sum!$G421="Fees",Sum!P$397=O$5),Sum!P421,0)</f>
        <v>0</v>
      </c>
      <c r="P216" s="13">
        <f>IF(AND(Sum!$F421="Yes",Sum!$G421="Fees",Sum!Q$397=P$5),Sum!Q421,0)</f>
        <v>0</v>
      </c>
      <c r="Q216" s="264" t="str">
        <f>IF(AND(Sum!$F421="Yes",Sum!$G421="Fees"),Sum!$E421,"")</f>
        <v/>
      </c>
    </row>
    <row r="217" spans="1:17" ht="12.75" customHeight="1" x14ac:dyDescent="0.25">
      <c r="A217" s="18"/>
      <c r="B217" s="306" t="str">
        <f>IF(AND(Sum!$F422="Yes",Sum!$G422="Fees"),Sum!$B422,"")</f>
        <v/>
      </c>
      <c r="C217" s="13"/>
      <c r="D217" s="13"/>
      <c r="E217" s="13"/>
      <c r="F217" s="13"/>
      <c r="G217" s="153">
        <f>IF(AND(Sum!$F422="Yes",Sum!$G422="Fees",Sum!H$397=G$5),Sum!H422,0)</f>
        <v>0</v>
      </c>
      <c r="H217" s="13">
        <f>IF(AND(Sum!$F422="Yes",Sum!$G422="Fees",Sum!I$397=H$5),Sum!I422,0)</f>
        <v>0</v>
      </c>
      <c r="I217" s="13">
        <f>IF(AND(Sum!$F422="Yes",Sum!$G422="Fees",Sum!J$397=I$5),Sum!J422,0)</f>
        <v>0</v>
      </c>
      <c r="J217" s="13">
        <f>IF(AND(Sum!$F422="Yes",Sum!$G422="Fees",Sum!K$397=J$5),Sum!K422,0)</f>
        <v>0</v>
      </c>
      <c r="K217" s="13">
        <f>IF(AND(Sum!$F422="Yes",Sum!$G422="Fees",Sum!L$397=K$5),Sum!L422,0)</f>
        <v>0</v>
      </c>
      <c r="L217" s="13">
        <f>IF(AND(Sum!$F422="Yes",Sum!$G422="Fees",Sum!M$397=L$5),Sum!M422,0)</f>
        <v>0</v>
      </c>
      <c r="M217" s="13">
        <f>IF(AND(Sum!$F422="Yes",Sum!$G422="Fees",Sum!N$397=M$5),Sum!N422,0)</f>
        <v>0</v>
      </c>
      <c r="N217" s="13">
        <f>IF(AND(Sum!$F422="Yes",Sum!$G422="Fees",Sum!O$397=N$5),Sum!O422,0)</f>
        <v>0</v>
      </c>
      <c r="O217" s="13">
        <f>IF(AND(Sum!$F422="Yes",Sum!$G422="Fees",Sum!P$397=O$5),Sum!P422,0)</f>
        <v>0</v>
      </c>
      <c r="P217" s="13">
        <f>IF(AND(Sum!$F422="Yes",Sum!$G422="Fees",Sum!Q$397=P$5),Sum!Q422,0)</f>
        <v>0</v>
      </c>
      <c r="Q217" s="264" t="str">
        <f>IF(AND(Sum!$F422="Yes",Sum!$G422="Fees"),Sum!$E422,"")</f>
        <v/>
      </c>
    </row>
    <row r="218" spans="1:17" ht="12.75" customHeight="1" x14ac:dyDescent="0.25">
      <c r="A218" s="18"/>
      <c r="B218" s="306" t="str">
        <f>IF(AND(Sum!$F423="Yes",Sum!$G423="Fees"),Sum!$B423,"")</f>
        <v/>
      </c>
      <c r="C218" s="13"/>
      <c r="D218" s="13"/>
      <c r="E218" s="13"/>
      <c r="F218" s="13"/>
      <c r="G218" s="153">
        <f>IF(AND(Sum!$F423="Yes",Sum!$G423="Fees",Sum!H$397=G$5),Sum!H423,0)</f>
        <v>0</v>
      </c>
      <c r="H218" s="13">
        <f>IF(AND(Sum!$F423="Yes",Sum!$G423="Fees",Sum!I$397=H$5),Sum!I423,0)</f>
        <v>0</v>
      </c>
      <c r="I218" s="13">
        <f>IF(AND(Sum!$F423="Yes",Sum!$G423="Fees",Sum!J$397=I$5),Sum!J423,0)</f>
        <v>0</v>
      </c>
      <c r="J218" s="13">
        <f>IF(AND(Sum!$F423="Yes",Sum!$G423="Fees",Sum!K$397=J$5),Sum!K423,0)</f>
        <v>0</v>
      </c>
      <c r="K218" s="13">
        <f>IF(AND(Sum!$F423="Yes",Sum!$G423="Fees",Sum!L$397=K$5),Sum!L423,0)</f>
        <v>0</v>
      </c>
      <c r="L218" s="13">
        <f>IF(AND(Sum!$F423="Yes",Sum!$G423="Fees",Sum!M$397=L$5),Sum!M423,0)</f>
        <v>0</v>
      </c>
      <c r="M218" s="13">
        <f>IF(AND(Sum!$F423="Yes",Sum!$G423="Fees",Sum!N$397=M$5),Sum!N423,0)</f>
        <v>0</v>
      </c>
      <c r="N218" s="13">
        <f>IF(AND(Sum!$F423="Yes",Sum!$G423="Fees",Sum!O$397=N$5),Sum!O423,0)</f>
        <v>0</v>
      </c>
      <c r="O218" s="13">
        <f>IF(AND(Sum!$F423="Yes",Sum!$G423="Fees",Sum!P$397=O$5),Sum!P423,0)</f>
        <v>0</v>
      </c>
      <c r="P218" s="13">
        <f>IF(AND(Sum!$F423="Yes",Sum!$G423="Fees",Sum!Q$397=P$5),Sum!Q423,0)</f>
        <v>0</v>
      </c>
      <c r="Q218" s="264" t="str">
        <f>IF(AND(Sum!$F423="Yes",Sum!$G423="Fees"),Sum!$E423,"")</f>
        <v/>
      </c>
    </row>
    <row r="219" spans="1:17" ht="12.75" customHeight="1" x14ac:dyDescent="0.25">
      <c r="A219" s="18"/>
      <c r="B219" s="306" t="str">
        <f>IF(AND(Sum!$F424="Yes",Sum!$G424="Fees"),Sum!$B424,"")</f>
        <v/>
      </c>
      <c r="C219" s="13"/>
      <c r="D219" s="13"/>
      <c r="E219" s="13"/>
      <c r="F219" s="13"/>
      <c r="G219" s="153">
        <f>IF(AND(Sum!$F424="Yes",Sum!$G424="Fees",Sum!H$397=G$5),Sum!H424,0)</f>
        <v>0</v>
      </c>
      <c r="H219" s="13">
        <f>IF(AND(Sum!$F424="Yes",Sum!$G424="Fees",Sum!I$397=H$5),Sum!I424,0)</f>
        <v>0</v>
      </c>
      <c r="I219" s="13">
        <f>IF(AND(Sum!$F424="Yes",Sum!$G424="Fees",Sum!J$397=I$5),Sum!J424,0)</f>
        <v>0</v>
      </c>
      <c r="J219" s="13">
        <f>IF(AND(Sum!$F424="Yes",Sum!$G424="Fees",Sum!K$397=J$5),Sum!K424,0)</f>
        <v>0</v>
      </c>
      <c r="K219" s="13">
        <f>IF(AND(Sum!$F424="Yes",Sum!$G424="Fees",Sum!L$397=K$5),Sum!L424,0)</f>
        <v>0</v>
      </c>
      <c r="L219" s="13">
        <f>IF(AND(Sum!$F424="Yes",Sum!$G424="Fees",Sum!M$397=L$5),Sum!M424,0)</f>
        <v>0</v>
      </c>
      <c r="M219" s="13">
        <f>IF(AND(Sum!$F424="Yes",Sum!$G424="Fees",Sum!N$397=M$5),Sum!N424,0)</f>
        <v>0</v>
      </c>
      <c r="N219" s="13">
        <f>IF(AND(Sum!$F424="Yes",Sum!$G424="Fees",Sum!O$397=N$5),Sum!O424,0)</f>
        <v>0</v>
      </c>
      <c r="O219" s="13">
        <f>IF(AND(Sum!$F424="Yes",Sum!$G424="Fees",Sum!P$397=O$5),Sum!P424,0)</f>
        <v>0</v>
      </c>
      <c r="P219" s="13">
        <f>IF(AND(Sum!$F424="Yes",Sum!$G424="Fees",Sum!Q$397=P$5),Sum!Q424,0)</f>
        <v>0</v>
      </c>
      <c r="Q219" s="264" t="str">
        <f>IF(AND(Sum!$F424="Yes",Sum!$G424="Fees"),Sum!$E424,"")</f>
        <v/>
      </c>
    </row>
    <row r="220" spans="1:17" ht="12.75" customHeight="1" x14ac:dyDescent="0.25">
      <c r="A220" s="18"/>
      <c r="B220" s="306" t="str">
        <f>IF(AND(Sum!$F425="Yes",Sum!$G425="Fees"),Sum!$B425,"")</f>
        <v/>
      </c>
      <c r="C220" s="13"/>
      <c r="D220" s="13"/>
      <c r="E220" s="13"/>
      <c r="F220" s="13"/>
      <c r="G220" s="153">
        <f>IF(AND(Sum!$F425="Yes",Sum!$G425="Fees",Sum!H$397=G$5),Sum!H425,0)</f>
        <v>0</v>
      </c>
      <c r="H220" s="13">
        <f>IF(AND(Sum!$F425="Yes",Sum!$G425="Fees",Sum!I$397=H$5),Sum!I425,0)</f>
        <v>0</v>
      </c>
      <c r="I220" s="13">
        <f>IF(AND(Sum!$F425="Yes",Sum!$G425="Fees",Sum!J$397=I$5),Sum!J425,0)</f>
        <v>0</v>
      </c>
      <c r="J220" s="13">
        <f>IF(AND(Sum!$F425="Yes",Sum!$G425="Fees",Sum!K$397=J$5),Sum!K425,0)</f>
        <v>0</v>
      </c>
      <c r="K220" s="13">
        <f>IF(AND(Sum!$F425="Yes",Sum!$G425="Fees",Sum!L$397=K$5),Sum!L425,0)</f>
        <v>0</v>
      </c>
      <c r="L220" s="13">
        <f>IF(AND(Sum!$F425="Yes",Sum!$G425="Fees",Sum!M$397=L$5),Sum!M425,0)</f>
        <v>0</v>
      </c>
      <c r="M220" s="13">
        <f>IF(AND(Sum!$F425="Yes",Sum!$G425="Fees",Sum!N$397=M$5),Sum!N425,0)</f>
        <v>0</v>
      </c>
      <c r="N220" s="13">
        <f>IF(AND(Sum!$F425="Yes",Sum!$G425="Fees",Sum!O$397=N$5),Sum!O425,0)</f>
        <v>0</v>
      </c>
      <c r="O220" s="13">
        <f>IF(AND(Sum!$F425="Yes",Sum!$G425="Fees",Sum!P$397=O$5),Sum!P425,0)</f>
        <v>0</v>
      </c>
      <c r="P220" s="13">
        <f>IF(AND(Sum!$F425="Yes",Sum!$G425="Fees",Sum!Q$397=P$5),Sum!Q425,0)</f>
        <v>0</v>
      </c>
      <c r="Q220" s="264" t="str">
        <f>IF(AND(Sum!$F425="Yes",Sum!$G425="Fees"),Sum!$E425,"")</f>
        <v/>
      </c>
    </row>
    <row r="221" spans="1:17" ht="12.75" customHeight="1" x14ac:dyDescent="0.25">
      <c r="A221" s="18"/>
      <c r="B221" s="306" t="str">
        <f>IF(AND(Sum!$F426="Yes",Sum!$G426="Fees"),Sum!$B426,"")</f>
        <v/>
      </c>
      <c r="C221" s="13"/>
      <c r="D221" s="13"/>
      <c r="E221" s="13"/>
      <c r="F221" s="13"/>
      <c r="G221" s="153">
        <f>IF(AND(Sum!$F426="Yes",Sum!$G426="Fees",Sum!H$397=G$5),Sum!H426,0)</f>
        <v>0</v>
      </c>
      <c r="H221" s="13">
        <f>IF(AND(Sum!$F426="Yes",Sum!$G426="Fees",Sum!I$397=H$5),Sum!I426,0)</f>
        <v>0</v>
      </c>
      <c r="I221" s="13">
        <f>IF(AND(Sum!$F426="Yes",Sum!$G426="Fees",Sum!J$397=I$5),Sum!J426,0)</f>
        <v>0</v>
      </c>
      <c r="J221" s="13">
        <f>IF(AND(Sum!$F426="Yes",Sum!$G426="Fees",Sum!K$397=J$5),Sum!K426,0)</f>
        <v>0</v>
      </c>
      <c r="K221" s="13">
        <f>IF(AND(Sum!$F426="Yes",Sum!$G426="Fees",Sum!L$397=K$5),Sum!L426,0)</f>
        <v>0</v>
      </c>
      <c r="L221" s="13">
        <f>IF(AND(Sum!$F426="Yes",Sum!$G426="Fees",Sum!M$397=L$5),Sum!M426,0)</f>
        <v>0</v>
      </c>
      <c r="M221" s="13">
        <f>IF(AND(Sum!$F426="Yes",Sum!$G426="Fees",Sum!N$397=M$5),Sum!N426,0)</f>
        <v>0</v>
      </c>
      <c r="N221" s="13">
        <f>IF(AND(Sum!$F426="Yes",Sum!$G426="Fees",Sum!O$397=N$5),Sum!O426,0)</f>
        <v>0</v>
      </c>
      <c r="O221" s="13">
        <f>IF(AND(Sum!$F426="Yes",Sum!$G426="Fees",Sum!P$397=O$5),Sum!P426,0)</f>
        <v>0</v>
      </c>
      <c r="P221" s="13">
        <f>IF(AND(Sum!$F426="Yes",Sum!$G426="Fees",Sum!Q$397=P$5),Sum!Q426,0)</f>
        <v>0</v>
      </c>
      <c r="Q221" s="264" t="str">
        <f>IF(AND(Sum!$F426="Yes",Sum!$G426="Fees"),Sum!$E426,"")</f>
        <v/>
      </c>
    </row>
    <row r="222" spans="1:17" ht="12.75" customHeight="1" x14ac:dyDescent="0.25">
      <c r="A222" s="18"/>
      <c r="B222" s="306" t="str">
        <f>IF(AND(Sum!$F427="Yes",Sum!$G427="Fees"),Sum!$B427,"")</f>
        <v/>
      </c>
      <c r="C222" s="13"/>
      <c r="D222" s="13"/>
      <c r="E222" s="13"/>
      <c r="F222" s="13"/>
      <c r="G222" s="153">
        <f>IF(AND(Sum!$F427="Yes",Sum!$G427="Fees",Sum!H$397=G$5),Sum!H427,0)</f>
        <v>0</v>
      </c>
      <c r="H222" s="13">
        <f>IF(AND(Sum!$F427="Yes",Sum!$G427="Fees",Sum!I$397=H$5),Sum!I427,0)</f>
        <v>0</v>
      </c>
      <c r="I222" s="13">
        <f>IF(AND(Sum!$F427="Yes",Sum!$G427="Fees",Sum!J$397=I$5),Sum!J427,0)</f>
        <v>0</v>
      </c>
      <c r="J222" s="13">
        <f>IF(AND(Sum!$F427="Yes",Sum!$G427="Fees",Sum!K$397=J$5),Sum!K427,0)</f>
        <v>0</v>
      </c>
      <c r="K222" s="13">
        <f>IF(AND(Sum!$F427="Yes",Sum!$G427="Fees",Sum!L$397=K$5),Sum!L427,0)</f>
        <v>0</v>
      </c>
      <c r="L222" s="13">
        <f>IF(AND(Sum!$F427="Yes",Sum!$G427="Fees",Sum!M$397=L$5),Sum!M427,0)</f>
        <v>0</v>
      </c>
      <c r="M222" s="13">
        <f>IF(AND(Sum!$F427="Yes",Sum!$G427="Fees",Sum!N$397=M$5),Sum!N427,0)</f>
        <v>0</v>
      </c>
      <c r="N222" s="13">
        <f>IF(AND(Sum!$F427="Yes",Sum!$G427="Fees",Sum!O$397=N$5),Sum!O427,0)</f>
        <v>0</v>
      </c>
      <c r="O222" s="13">
        <f>IF(AND(Sum!$F427="Yes",Sum!$G427="Fees",Sum!P$397=O$5),Sum!P427,0)</f>
        <v>0</v>
      </c>
      <c r="P222" s="13">
        <f>IF(AND(Sum!$F427="Yes",Sum!$G427="Fees",Sum!Q$397=P$5),Sum!Q427,0)</f>
        <v>0</v>
      </c>
      <c r="Q222" s="264" t="str">
        <f>IF(AND(Sum!$F427="Yes",Sum!$G427="Fees"),Sum!$E427,"")</f>
        <v/>
      </c>
    </row>
    <row r="223" spans="1:17" ht="12.75" customHeight="1" x14ac:dyDescent="0.25">
      <c r="A223" s="18"/>
      <c r="B223" s="306" t="str">
        <f>IF(AND(Sum!$F428="Yes",Sum!$G428="Fees"),Sum!$B428,"")</f>
        <v/>
      </c>
      <c r="C223" s="13"/>
      <c r="D223" s="13"/>
      <c r="E223" s="13"/>
      <c r="F223" s="13"/>
      <c r="G223" s="153">
        <f>IF(AND(Sum!$F428="Yes",Sum!$G428="Fees",Sum!H$397=G$5),Sum!H428,0)</f>
        <v>0</v>
      </c>
      <c r="H223" s="13">
        <f>IF(AND(Sum!$F428="Yes",Sum!$G428="Fees",Sum!I$397=H$5),Sum!I428,0)</f>
        <v>0</v>
      </c>
      <c r="I223" s="13">
        <f>IF(AND(Sum!$F428="Yes",Sum!$G428="Fees",Sum!J$397=I$5),Sum!J428,0)</f>
        <v>0</v>
      </c>
      <c r="J223" s="13">
        <f>IF(AND(Sum!$F428="Yes",Sum!$G428="Fees",Sum!K$397=J$5),Sum!K428,0)</f>
        <v>0</v>
      </c>
      <c r="K223" s="13">
        <f>IF(AND(Sum!$F428="Yes",Sum!$G428="Fees",Sum!L$397=K$5),Sum!L428,0)</f>
        <v>0</v>
      </c>
      <c r="L223" s="13">
        <f>IF(AND(Sum!$F428="Yes",Sum!$G428="Fees",Sum!M$397=L$5),Sum!M428,0)</f>
        <v>0</v>
      </c>
      <c r="M223" s="13">
        <f>IF(AND(Sum!$F428="Yes",Sum!$G428="Fees",Sum!N$397=M$5),Sum!N428,0)</f>
        <v>0</v>
      </c>
      <c r="N223" s="13">
        <f>IF(AND(Sum!$F428="Yes",Sum!$G428="Fees",Sum!O$397=N$5),Sum!O428,0)</f>
        <v>0</v>
      </c>
      <c r="O223" s="13">
        <f>IF(AND(Sum!$F428="Yes",Sum!$G428="Fees",Sum!P$397=O$5),Sum!P428,0)</f>
        <v>0</v>
      </c>
      <c r="P223" s="13">
        <f>IF(AND(Sum!$F428="Yes",Sum!$G428="Fees",Sum!Q$397=P$5),Sum!Q428,0)</f>
        <v>0</v>
      </c>
      <c r="Q223" s="264" t="str">
        <f>IF(AND(Sum!$F428="Yes",Sum!$G428="Fees"),Sum!$E428,"")</f>
        <v/>
      </c>
    </row>
    <row r="224" spans="1:17" ht="12.75" customHeight="1" x14ac:dyDescent="0.25">
      <c r="A224" s="18"/>
      <c r="B224" s="306" t="str">
        <f>IF(AND(Sum!$F429="Yes",Sum!$G429="Fees"),Sum!$B429,"")</f>
        <v/>
      </c>
      <c r="C224" s="13"/>
      <c r="D224" s="13"/>
      <c r="E224" s="13"/>
      <c r="F224" s="13"/>
      <c r="G224" s="153">
        <f>IF(AND(Sum!$F429="Yes",Sum!$G429="Fees",Sum!H$397=G$5),Sum!H429,0)</f>
        <v>0</v>
      </c>
      <c r="H224" s="13">
        <f>IF(AND(Sum!$F429="Yes",Sum!$G429="Fees",Sum!I$397=H$5),Sum!I429,0)</f>
        <v>0</v>
      </c>
      <c r="I224" s="13">
        <f>IF(AND(Sum!$F429="Yes",Sum!$G429="Fees",Sum!J$397=I$5),Sum!J429,0)</f>
        <v>0</v>
      </c>
      <c r="J224" s="13">
        <f>IF(AND(Sum!$F429="Yes",Sum!$G429="Fees",Sum!K$397=J$5),Sum!K429,0)</f>
        <v>0</v>
      </c>
      <c r="K224" s="13">
        <f>IF(AND(Sum!$F429="Yes",Sum!$G429="Fees",Sum!L$397=K$5),Sum!L429,0)</f>
        <v>0</v>
      </c>
      <c r="L224" s="13">
        <f>IF(AND(Sum!$F429="Yes",Sum!$G429="Fees",Sum!M$397=L$5),Sum!M429,0)</f>
        <v>0</v>
      </c>
      <c r="M224" s="13">
        <f>IF(AND(Sum!$F429="Yes",Sum!$G429="Fees",Sum!N$397=M$5),Sum!N429,0)</f>
        <v>0</v>
      </c>
      <c r="N224" s="13">
        <f>IF(AND(Sum!$F429="Yes",Sum!$G429="Fees",Sum!O$397=N$5),Sum!O429,0)</f>
        <v>0</v>
      </c>
      <c r="O224" s="13">
        <f>IF(AND(Sum!$F429="Yes",Sum!$G429="Fees",Sum!P$397=O$5),Sum!P429,0)</f>
        <v>0</v>
      </c>
      <c r="P224" s="13">
        <f>IF(AND(Sum!$F429="Yes",Sum!$G429="Fees",Sum!Q$397=P$5),Sum!Q429,0)</f>
        <v>0</v>
      </c>
      <c r="Q224" s="264" t="str">
        <f>IF(AND(Sum!$F429="Yes",Sum!$G429="Fees"),Sum!$E429,"")</f>
        <v/>
      </c>
    </row>
    <row r="225" spans="1:17" ht="12.75" customHeight="1" x14ac:dyDescent="0.25">
      <c r="A225" s="18"/>
      <c r="B225" s="306" t="str">
        <f>IF(AND(Sum!$F430="Yes",Sum!$G430="Fees"),Sum!$B430,"")</f>
        <v/>
      </c>
      <c r="C225" s="13"/>
      <c r="D225" s="13"/>
      <c r="E225" s="13"/>
      <c r="F225" s="13"/>
      <c r="G225" s="153">
        <f>IF(AND(Sum!$F430="Yes",Sum!$G430="Fees",Sum!H$397=G$5),Sum!H430,0)</f>
        <v>0</v>
      </c>
      <c r="H225" s="13">
        <f>IF(AND(Sum!$F430="Yes",Sum!$G430="Fees",Sum!I$397=H$5),Sum!I430,0)</f>
        <v>0</v>
      </c>
      <c r="I225" s="13">
        <f>IF(AND(Sum!$F430="Yes",Sum!$G430="Fees",Sum!J$397=I$5),Sum!J430,0)</f>
        <v>0</v>
      </c>
      <c r="J225" s="13">
        <f>IF(AND(Sum!$F430="Yes",Sum!$G430="Fees",Sum!K$397=J$5),Sum!K430,0)</f>
        <v>0</v>
      </c>
      <c r="K225" s="13">
        <f>IF(AND(Sum!$F430="Yes",Sum!$G430="Fees",Sum!L$397=K$5),Sum!L430,0)</f>
        <v>0</v>
      </c>
      <c r="L225" s="13">
        <f>IF(AND(Sum!$F430="Yes",Sum!$G430="Fees",Sum!M$397=L$5),Sum!M430,0)</f>
        <v>0</v>
      </c>
      <c r="M225" s="13">
        <f>IF(AND(Sum!$F430="Yes",Sum!$G430="Fees",Sum!N$397=M$5),Sum!N430,0)</f>
        <v>0</v>
      </c>
      <c r="N225" s="13">
        <f>IF(AND(Sum!$F430="Yes",Sum!$G430="Fees",Sum!O$397=N$5),Sum!O430,0)</f>
        <v>0</v>
      </c>
      <c r="O225" s="13">
        <f>IF(AND(Sum!$F430="Yes",Sum!$G430="Fees",Sum!P$397=O$5),Sum!P430,0)</f>
        <v>0</v>
      </c>
      <c r="P225" s="13">
        <f>IF(AND(Sum!$F430="Yes",Sum!$G430="Fees",Sum!Q$397=P$5),Sum!Q430,0)</f>
        <v>0</v>
      </c>
      <c r="Q225" s="264" t="str">
        <f>IF(AND(Sum!$F430="Yes",Sum!$G430="Fees"),Sum!$E430,"")</f>
        <v/>
      </c>
    </row>
    <row r="226" spans="1:17" ht="12.75" customHeight="1" x14ac:dyDescent="0.25">
      <c r="A226" s="18"/>
      <c r="B226" s="306" t="str">
        <f>IF(AND(Sum!$F431="Yes",Sum!$G431="Fees"),Sum!$B431,"")</f>
        <v/>
      </c>
      <c r="C226" s="13"/>
      <c r="D226" s="13"/>
      <c r="E226" s="13"/>
      <c r="F226" s="13"/>
      <c r="G226" s="153">
        <f>IF(AND(Sum!$F431="Yes",Sum!$G431="Fees",Sum!H$397=G$5),Sum!H431,0)</f>
        <v>0</v>
      </c>
      <c r="H226" s="13">
        <f>IF(AND(Sum!$F431="Yes",Sum!$G431="Fees",Sum!I$397=H$5),Sum!I431,0)</f>
        <v>0</v>
      </c>
      <c r="I226" s="13">
        <f>IF(AND(Sum!$F431="Yes",Sum!$G431="Fees",Sum!J$397=I$5),Sum!J431,0)</f>
        <v>0</v>
      </c>
      <c r="J226" s="13">
        <f>IF(AND(Sum!$F431="Yes",Sum!$G431="Fees",Sum!K$397=J$5),Sum!K431,0)</f>
        <v>0</v>
      </c>
      <c r="K226" s="13">
        <f>IF(AND(Sum!$F431="Yes",Sum!$G431="Fees",Sum!L$397=K$5),Sum!L431,0)</f>
        <v>0</v>
      </c>
      <c r="L226" s="13">
        <f>IF(AND(Sum!$F431="Yes",Sum!$G431="Fees",Sum!M$397=L$5),Sum!M431,0)</f>
        <v>0</v>
      </c>
      <c r="M226" s="13">
        <f>IF(AND(Sum!$F431="Yes",Sum!$G431="Fees",Sum!N$397=M$5),Sum!N431,0)</f>
        <v>0</v>
      </c>
      <c r="N226" s="13">
        <f>IF(AND(Sum!$F431="Yes",Sum!$G431="Fees",Sum!O$397=N$5),Sum!O431,0)</f>
        <v>0</v>
      </c>
      <c r="O226" s="13">
        <f>IF(AND(Sum!$F431="Yes",Sum!$G431="Fees",Sum!P$397=O$5),Sum!P431,0)</f>
        <v>0</v>
      </c>
      <c r="P226" s="13">
        <f>IF(AND(Sum!$F431="Yes",Sum!$G431="Fees",Sum!Q$397=P$5),Sum!Q431,0)</f>
        <v>0</v>
      </c>
      <c r="Q226" s="264" t="str">
        <f>IF(AND(Sum!$F431="Yes",Sum!$G431="Fees"),Sum!$E431,"")</f>
        <v/>
      </c>
    </row>
    <row r="227" spans="1:17" ht="12.75" customHeight="1" x14ac:dyDescent="0.25">
      <c r="A227" s="18"/>
      <c r="B227" s="306" t="str">
        <f>IF(AND(Sum!$F432="Yes",Sum!$G432="Fees"),Sum!$B432,"")</f>
        <v/>
      </c>
      <c r="C227" s="13"/>
      <c r="D227" s="13"/>
      <c r="E227" s="13"/>
      <c r="F227" s="13"/>
      <c r="G227" s="153">
        <f>IF(AND(Sum!$F432="Yes",Sum!$G432="Fees",Sum!H$397=G$5),Sum!H432,0)</f>
        <v>0</v>
      </c>
      <c r="H227" s="13">
        <f>IF(AND(Sum!$F432="Yes",Sum!$G432="Fees",Sum!I$397=H$5),Sum!I432,0)</f>
        <v>0</v>
      </c>
      <c r="I227" s="13">
        <f>IF(AND(Sum!$F432="Yes",Sum!$G432="Fees",Sum!J$397=I$5),Sum!J432,0)</f>
        <v>0</v>
      </c>
      <c r="J227" s="13">
        <f>IF(AND(Sum!$F432="Yes",Sum!$G432="Fees",Sum!K$397=J$5),Sum!K432,0)</f>
        <v>0</v>
      </c>
      <c r="K227" s="13">
        <f>IF(AND(Sum!$F432="Yes",Sum!$G432="Fees",Sum!L$397=K$5),Sum!L432,0)</f>
        <v>0</v>
      </c>
      <c r="L227" s="13">
        <f>IF(AND(Sum!$F432="Yes",Sum!$G432="Fees",Sum!M$397=L$5),Sum!M432,0)</f>
        <v>0</v>
      </c>
      <c r="M227" s="13">
        <f>IF(AND(Sum!$F432="Yes",Sum!$G432="Fees",Sum!N$397=M$5),Sum!N432,0)</f>
        <v>0</v>
      </c>
      <c r="N227" s="13">
        <f>IF(AND(Sum!$F432="Yes",Sum!$G432="Fees",Sum!O$397=N$5),Sum!O432,0)</f>
        <v>0</v>
      </c>
      <c r="O227" s="13">
        <f>IF(AND(Sum!$F432="Yes",Sum!$G432="Fees",Sum!P$397=O$5),Sum!P432,0)</f>
        <v>0</v>
      </c>
      <c r="P227" s="13">
        <f>IF(AND(Sum!$F432="Yes",Sum!$G432="Fees",Sum!Q$397=P$5),Sum!Q432,0)</f>
        <v>0</v>
      </c>
      <c r="Q227" s="264" t="str">
        <f>IF(AND(Sum!$F432="Yes",Sum!$G432="Fees"),Sum!$E432,"")</f>
        <v/>
      </c>
    </row>
    <row r="228" spans="1:17" ht="12.75" customHeight="1" x14ac:dyDescent="0.25">
      <c r="A228" s="18"/>
      <c r="B228" s="306" t="str">
        <f>IF(AND(Sum!$F433="Yes",Sum!$G433="Fees"),Sum!$B433,"")</f>
        <v/>
      </c>
      <c r="C228" s="13"/>
      <c r="D228" s="13"/>
      <c r="E228" s="13"/>
      <c r="F228" s="13"/>
      <c r="G228" s="153">
        <f>IF(AND(Sum!$F433="Yes",Sum!$G433="Fees",Sum!H$397=G$5),Sum!H433,0)</f>
        <v>0</v>
      </c>
      <c r="H228" s="13">
        <f>IF(AND(Sum!$F433="Yes",Sum!$G433="Fees",Sum!I$397=H$5),Sum!I433,0)</f>
        <v>0</v>
      </c>
      <c r="I228" s="13">
        <f>IF(AND(Sum!$F433="Yes",Sum!$G433="Fees",Sum!J$397=I$5),Sum!J433,0)</f>
        <v>0</v>
      </c>
      <c r="J228" s="13">
        <f>IF(AND(Sum!$F433="Yes",Sum!$G433="Fees",Sum!K$397=J$5),Sum!K433,0)</f>
        <v>0</v>
      </c>
      <c r="K228" s="13">
        <f>IF(AND(Sum!$F433="Yes",Sum!$G433="Fees",Sum!L$397=K$5),Sum!L433,0)</f>
        <v>0</v>
      </c>
      <c r="L228" s="13">
        <f>IF(AND(Sum!$F433="Yes",Sum!$G433="Fees",Sum!M$397=L$5),Sum!M433,0)</f>
        <v>0</v>
      </c>
      <c r="M228" s="13">
        <f>IF(AND(Sum!$F433="Yes",Sum!$G433="Fees",Sum!N$397=M$5),Sum!N433,0)</f>
        <v>0</v>
      </c>
      <c r="N228" s="13">
        <f>IF(AND(Sum!$F433="Yes",Sum!$G433="Fees",Sum!O$397=N$5),Sum!O433,0)</f>
        <v>0</v>
      </c>
      <c r="O228" s="13">
        <f>IF(AND(Sum!$F433="Yes",Sum!$G433="Fees",Sum!P$397=O$5),Sum!P433,0)</f>
        <v>0</v>
      </c>
      <c r="P228" s="13">
        <f>IF(AND(Sum!$F433="Yes",Sum!$G433="Fees",Sum!Q$397=P$5),Sum!Q433,0)</f>
        <v>0</v>
      </c>
      <c r="Q228" s="264" t="str">
        <f>IF(AND(Sum!$F433="Yes",Sum!$G433="Fees"),Sum!$E433,"")</f>
        <v/>
      </c>
    </row>
    <row r="229" spans="1:17" ht="12.75" customHeight="1" x14ac:dyDescent="0.25">
      <c r="A229" s="18"/>
      <c r="B229" s="306" t="str">
        <f>IF(AND(Sum!$F434="Yes",Sum!$G434="Fees"),Sum!$B434,"")</f>
        <v/>
      </c>
      <c r="C229" s="13"/>
      <c r="D229" s="13"/>
      <c r="E229" s="13"/>
      <c r="F229" s="13"/>
      <c r="G229" s="153">
        <f>IF(AND(Sum!$F434="Yes",Sum!$G434="Fees",Sum!H$397=G$5),Sum!H434,0)</f>
        <v>0</v>
      </c>
      <c r="H229" s="13">
        <f>IF(AND(Sum!$F434="Yes",Sum!$G434="Fees",Sum!I$397=H$5),Sum!I434,0)</f>
        <v>0</v>
      </c>
      <c r="I229" s="13">
        <f>IF(AND(Sum!$F434="Yes",Sum!$G434="Fees",Sum!J$397=I$5),Sum!J434,0)</f>
        <v>0</v>
      </c>
      <c r="J229" s="13">
        <f>IF(AND(Sum!$F434="Yes",Sum!$G434="Fees",Sum!K$397=J$5),Sum!K434,0)</f>
        <v>0</v>
      </c>
      <c r="K229" s="13">
        <f>IF(AND(Sum!$F434="Yes",Sum!$G434="Fees",Sum!L$397=K$5),Sum!L434,0)</f>
        <v>0</v>
      </c>
      <c r="L229" s="13">
        <f>IF(AND(Sum!$F434="Yes",Sum!$G434="Fees",Sum!M$397=L$5),Sum!M434,0)</f>
        <v>0</v>
      </c>
      <c r="M229" s="13">
        <f>IF(AND(Sum!$F434="Yes",Sum!$G434="Fees",Sum!N$397=M$5),Sum!N434,0)</f>
        <v>0</v>
      </c>
      <c r="N229" s="13">
        <f>IF(AND(Sum!$F434="Yes",Sum!$G434="Fees",Sum!O$397=N$5),Sum!O434,0)</f>
        <v>0</v>
      </c>
      <c r="O229" s="13">
        <f>IF(AND(Sum!$F434="Yes",Sum!$G434="Fees",Sum!P$397=O$5),Sum!P434,0)</f>
        <v>0</v>
      </c>
      <c r="P229" s="13">
        <f>IF(AND(Sum!$F434="Yes",Sum!$G434="Fees",Sum!Q$397=P$5),Sum!Q434,0)</f>
        <v>0</v>
      </c>
      <c r="Q229" s="264" t="str">
        <f>IF(AND(Sum!$F434="Yes",Sum!$G434="Fees"),Sum!$E434,"")</f>
        <v/>
      </c>
    </row>
    <row r="230" spans="1:17" ht="12.75" customHeight="1" x14ac:dyDescent="0.25">
      <c r="A230" s="18"/>
      <c r="B230" s="306" t="str">
        <f>IF(AND(Sum!$F435="Yes",Sum!$G435="Fees"),Sum!$B435,"")</f>
        <v/>
      </c>
      <c r="C230" s="13"/>
      <c r="D230" s="13"/>
      <c r="E230" s="13"/>
      <c r="F230" s="13"/>
      <c r="G230" s="153">
        <f>IF(AND(Sum!$F435="Yes",Sum!$G435="Fees",Sum!H$397=G$5),Sum!H435,0)</f>
        <v>0</v>
      </c>
      <c r="H230" s="13">
        <f>IF(AND(Sum!$F435="Yes",Sum!$G435="Fees",Sum!I$397=H$5),Sum!I435,0)</f>
        <v>0</v>
      </c>
      <c r="I230" s="13">
        <f>IF(AND(Sum!$F435="Yes",Sum!$G435="Fees",Sum!J$397=I$5),Sum!J435,0)</f>
        <v>0</v>
      </c>
      <c r="J230" s="13">
        <f>IF(AND(Sum!$F435="Yes",Sum!$G435="Fees",Sum!K$397=J$5),Sum!K435,0)</f>
        <v>0</v>
      </c>
      <c r="K230" s="13">
        <f>IF(AND(Sum!$F435="Yes",Sum!$G435="Fees",Sum!L$397=K$5),Sum!L435,0)</f>
        <v>0</v>
      </c>
      <c r="L230" s="13">
        <f>IF(AND(Sum!$F435="Yes",Sum!$G435="Fees",Sum!M$397=L$5),Sum!M435,0)</f>
        <v>0</v>
      </c>
      <c r="M230" s="13">
        <f>IF(AND(Sum!$F435="Yes",Sum!$G435="Fees",Sum!N$397=M$5),Sum!N435,0)</f>
        <v>0</v>
      </c>
      <c r="N230" s="13">
        <f>IF(AND(Sum!$F435="Yes",Sum!$G435="Fees",Sum!O$397=N$5),Sum!O435,0)</f>
        <v>0</v>
      </c>
      <c r="O230" s="13">
        <f>IF(AND(Sum!$F435="Yes",Sum!$G435="Fees",Sum!P$397=O$5),Sum!P435,0)</f>
        <v>0</v>
      </c>
      <c r="P230" s="13">
        <f>IF(AND(Sum!$F435="Yes",Sum!$G435="Fees",Sum!Q$397=P$5),Sum!Q435,0)</f>
        <v>0</v>
      </c>
      <c r="Q230" s="264" t="str">
        <f>IF(AND(Sum!$F435="Yes",Sum!$G435="Fees"),Sum!$E435,"")</f>
        <v/>
      </c>
    </row>
    <row r="231" spans="1:17" ht="12.75" customHeight="1" x14ac:dyDescent="0.25">
      <c r="A231" s="18"/>
      <c r="B231" s="306" t="str">
        <f>IF(AND(Sum!$F436="Yes",Sum!$G436="Fees"),Sum!$B436,"")</f>
        <v/>
      </c>
      <c r="C231" s="13"/>
      <c r="D231" s="13"/>
      <c r="E231" s="13"/>
      <c r="F231" s="13"/>
      <c r="G231" s="153">
        <f>IF(AND(Sum!$F436="Yes",Sum!$G436="Fees",Sum!H$397=G$5),Sum!H436,0)</f>
        <v>0</v>
      </c>
      <c r="H231" s="13">
        <f>IF(AND(Sum!$F436="Yes",Sum!$G436="Fees",Sum!I$397=H$5),Sum!I436,0)</f>
        <v>0</v>
      </c>
      <c r="I231" s="13">
        <f>IF(AND(Sum!$F436="Yes",Sum!$G436="Fees",Sum!J$397=I$5),Sum!J436,0)</f>
        <v>0</v>
      </c>
      <c r="J231" s="13">
        <f>IF(AND(Sum!$F436="Yes",Sum!$G436="Fees",Sum!K$397=J$5),Sum!K436,0)</f>
        <v>0</v>
      </c>
      <c r="K231" s="13">
        <f>IF(AND(Sum!$F436="Yes",Sum!$G436="Fees",Sum!L$397=K$5),Sum!L436,0)</f>
        <v>0</v>
      </c>
      <c r="L231" s="13">
        <f>IF(AND(Sum!$F436="Yes",Sum!$G436="Fees",Sum!M$397=L$5),Sum!M436,0)</f>
        <v>0</v>
      </c>
      <c r="M231" s="13">
        <f>IF(AND(Sum!$F436="Yes",Sum!$G436="Fees",Sum!N$397=M$5),Sum!N436,0)</f>
        <v>0</v>
      </c>
      <c r="N231" s="13">
        <f>IF(AND(Sum!$F436="Yes",Sum!$G436="Fees",Sum!O$397=N$5),Sum!O436,0)</f>
        <v>0</v>
      </c>
      <c r="O231" s="13">
        <f>IF(AND(Sum!$F436="Yes",Sum!$G436="Fees",Sum!P$397=O$5),Sum!P436,0)</f>
        <v>0</v>
      </c>
      <c r="P231" s="13">
        <f>IF(AND(Sum!$F436="Yes",Sum!$G436="Fees",Sum!Q$397=P$5),Sum!Q436,0)</f>
        <v>0</v>
      </c>
      <c r="Q231" s="264" t="str">
        <f>IF(AND(Sum!$F436="Yes",Sum!$G436="Fees"),Sum!$E436,"")</f>
        <v/>
      </c>
    </row>
    <row r="232" spans="1:17" ht="12.75" customHeight="1" x14ac:dyDescent="0.25">
      <c r="A232" s="18"/>
      <c r="B232" s="306" t="str">
        <f>IF(AND(Sum!$F437="Yes",Sum!$G437="Fees"),Sum!$B437,"")</f>
        <v/>
      </c>
      <c r="C232" s="13"/>
      <c r="D232" s="13"/>
      <c r="E232" s="13"/>
      <c r="F232" s="13"/>
      <c r="G232" s="153">
        <f>IF(AND(Sum!$F437="Yes",Sum!$G437="Fees",Sum!H$397=G$5),Sum!H437,0)</f>
        <v>0</v>
      </c>
      <c r="H232" s="13">
        <f>IF(AND(Sum!$F437="Yes",Sum!$G437="Fees",Sum!I$397=H$5),Sum!I437,0)</f>
        <v>0</v>
      </c>
      <c r="I232" s="13">
        <f>IF(AND(Sum!$F437="Yes",Sum!$G437="Fees",Sum!J$397=I$5),Sum!J437,0)</f>
        <v>0</v>
      </c>
      <c r="J232" s="13">
        <f>IF(AND(Sum!$F437="Yes",Sum!$G437="Fees",Sum!K$397=J$5),Sum!K437,0)</f>
        <v>0</v>
      </c>
      <c r="K232" s="13">
        <f>IF(AND(Sum!$F437="Yes",Sum!$G437="Fees",Sum!L$397=K$5),Sum!L437,0)</f>
        <v>0</v>
      </c>
      <c r="L232" s="13">
        <f>IF(AND(Sum!$F437="Yes",Sum!$G437="Fees",Sum!M$397=L$5),Sum!M437,0)</f>
        <v>0</v>
      </c>
      <c r="M232" s="13">
        <f>IF(AND(Sum!$F437="Yes",Sum!$G437="Fees",Sum!N$397=M$5),Sum!N437,0)</f>
        <v>0</v>
      </c>
      <c r="N232" s="13">
        <f>IF(AND(Sum!$F437="Yes",Sum!$G437="Fees",Sum!O$397=N$5),Sum!O437,0)</f>
        <v>0</v>
      </c>
      <c r="O232" s="13">
        <f>IF(AND(Sum!$F437="Yes",Sum!$G437="Fees",Sum!P$397=O$5),Sum!P437,0)</f>
        <v>0</v>
      </c>
      <c r="P232" s="13">
        <f>IF(AND(Sum!$F437="Yes",Sum!$G437="Fees",Sum!Q$397=P$5),Sum!Q437,0)</f>
        <v>0</v>
      </c>
      <c r="Q232" s="264" t="str">
        <f>IF(AND(Sum!$F437="Yes",Sum!$G437="Fees"),Sum!$E437,"")</f>
        <v/>
      </c>
    </row>
    <row r="233" spans="1:17" ht="12.75" customHeight="1" x14ac:dyDescent="0.25">
      <c r="A233" s="18"/>
      <c r="B233" s="306" t="str">
        <f>IF(AND(Sum!$F438="Yes",Sum!$G438="Fees"),Sum!$B438,"")</f>
        <v/>
      </c>
      <c r="C233" s="13"/>
      <c r="D233" s="13"/>
      <c r="E233" s="13"/>
      <c r="F233" s="13"/>
      <c r="G233" s="153">
        <f>IF(AND(Sum!$F438="Yes",Sum!$G438="Fees",Sum!H$397=G$5),Sum!H438,0)</f>
        <v>0</v>
      </c>
      <c r="H233" s="13">
        <f>IF(AND(Sum!$F438="Yes",Sum!$G438="Fees",Sum!I$397=H$5),Sum!I438,0)</f>
        <v>0</v>
      </c>
      <c r="I233" s="13">
        <f>IF(AND(Sum!$F438="Yes",Sum!$G438="Fees",Sum!J$397=I$5),Sum!J438,0)</f>
        <v>0</v>
      </c>
      <c r="J233" s="13">
        <f>IF(AND(Sum!$F438="Yes",Sum!$G438="Fees",Sum!K$397=J$5),Sum!K438,0)</f>
        <v>0</v>
      </c>
      <c r="K233" s="13">
        <f>IF(AND(Sum!$F438="Yes",Sum!$G438="Fees",Sum!L$397=K$5),Sum!L438,0)</f>
        <v>0</v>
      </c>
      <c r="L233" s="13">
        <f>IF(AND(Sum!$F438="Yes",Sum!$G438="Fees",Sum!M$397=L$5),Sum!M438,0)</f>
        <v>0</v>
      </c>
      <c r="M233" s="13">
        <f>IF(AND(Sum!$F438="Yes",Sum!$G438="Fees",Sum!N$397=M$5),Sum!N438,0)</f>
        <v>0</v>
      </c>
      <c r="N233" s="13">
        <f>IF(AND(Sum!$F438="Yes",Sum!$G438="Fees",Sum!O$397=N$5),Sum!O438,0)</f>
        <v>0</v>
      </c>
      <c r="O233" s="13">
        <f>IF(AND(Sum!$F438="Yes",Sum!$G438="Fees",Sum!P$397=O$5),Sum!P438,0)</f>
        <v>0</v>
      </c>
      <c r="P233" s="13">
        <f>IF(AND(Sum!$F438="Yes",Sum!$G438="Fees",Sum!Q$397=P$5),Sum!Q438,0)</f>
        <v>0</v>
      </c>
      <c r="Q233" s="264" t="str">
        <f>IF(AND(Sum!$F438="Yes",Sum!$G438="Fees"),Sum!$E438,"")</f>
        <v/>
      </c>
    </row>
    <row r="234" spans="1:17" ht="12.75" customHeight="1" x14ac:dyDescent="0.25">
      <c r="A234" s="18"/>
      <c r="B234" s="306" t="str">
        <f>IF(AND(Sum!$F439="Yes",Sum!$G439="Fees"),Sum!$B439,"")</f>
        <v/>
      </c>
      <c r="C234" s="13"/>
      <c r="D234" s="13"/>
      <c r="E234" s="13"/>
      <c r="F234" s="13"/>
      <c r="G234" s="153">
        <f>IF(AND(Sum!$F439="Yes",Sum!$G439="Fees",Sum!H$397=G$5),Sum!H439,0)</f>
        <v>0</v>
      </c>
      <c r="H234" s="13">
        <f>IF(AND(Sum!$F439="Yes",Sum!$G439="Fees",Sum!I$397=H$5),Sum!I439,0)</f>
        <v>0</v>
      </c>
      <c r="I234" s="13">
        <f>IF(AND(Sum!$F439="Yes",Sum!$G439="Fees",Sum!J$397=I$5),Sum!J439,0)</f>
        <v>0</v>
      </c>
      <c r="J234" s="13">
        <f>IF(AND(Sum!$F439="Yes",Sum!$G439="Fees",Sum!K$397=J$5),Sum!K439,0)</f>
        <v>0</v>
      </c>
      <c r="K234" s="13">
        <f>IF(AND(Sum!$F439="Yes",Sum!$G439="Fees",Sum!L$397=K$5),Sum!L439,0)</f>
        <v>0</v>
      </c>
      <c r="L234" s="13">
        <f>IF(AND(Sum!$F439="Yes",Sum!$G439="Fees",Sum!M$397=L$5),Sum!M439,0)</f>
        <v>0</v>
      </c>
      <c r="M234" s="13">
        <f>IF(AND(Sum!$F439="Yes",Sum!$G439="Fees",Sum!N$397=M$5),Sum!N439,0)</f>
        <v>0</v>
      </c>
      <c r="N234" s="13">
        <f>IF(AND(Sum!$F439="Yes",Sum!$G439="Fees",Sum!O$397=N$5),Sum!O439,0)</f>
        <v>0</v>
      </c>
      <c r="O234" s="13">
        <f>IF(AND(Sum!$F439="Yes",Sum!$G439="Fees",Sum!P$397=O$5),Sum!P439,0)</f>
        <v>0</v>
      </c>
      <c r="P234" s="13">
        <f>IF(AND(Sum!$F439="Yes",Sum!$G439="Fees",Sum!Q$397=P$5),Sum!Q439,0)</f>
        <v>0</v>
      </c>
      <c r="Q234" s="264" t="str">
        <f>IF(AND(Sum!$F439="Yes",Sum!$G439="Fees"),Sum!$E439,"")</f>
        <v/>
      </c>
    </row>
    <row r="235" spans="1:17" ht="12.75" customHeight="1" x14ac:dyDescent="0.25">
      <c r="A235" s="18"/>
      <c r="B235" s="306" t="str">
        <f>IF(AND(Sum!$F440="Yes",Sum!$G440="Fees"),Sum!$B440,"")</f>
        <v/>
      </c>
      <c r="C235" s="13"/>
      <c r="D235" s="13"/>
      <c r="E235" s="13"/>
      <c r="F235" s="13"/>
      <c r="G235" s="153">
        <f>IF(AND(Sum!$F440="Yes",Sum!$G440="Fees",Sum!H$397=G$5),Sum!H440,0)</f>
        <v>0</v>
      </c>
      <c r="H235" s="13">
        <f>IF(AND(Sum!$F440="Yes",Sum!$G440="Fees",Sum!I$397=H$5),Sum!I440,0)</f>
        <v>0</v>
      </c>
      <c r="I235" s="13">
        <f>IF(AND(Sum!$F440="Yes",Sum!$G440="Fees",Sum!J$397=I$5),Sum!J440,0)</f>
        <v>0</v>
      </c>
      <c r="J235" s="13">
        <f>IF(AND(Sum!$F440="Yes",Sum!$G440="Fees",Sum!K$397=J$5),Sum!K440,0)</f>
        <v>0</v>
      </c>
      <c r="K235" s="13">
        <f>IF(AND(Sum!$F440="Yes",Sum!$G440="Fees",Sum!L$397=K$5),Sum!L440,0)</f>
        <v>0</v>
      </c>
      <c r="L235" s="13">
        <f>IF(AND(Sum!$F440="Yes",Sum!$G440="Fees",Sum!M$397=L$5),Sum!M440,0)</f>
        <v>0</v>
      </c>
      <c r="M235" s="13">
        <f>IF(AND(Sum!$F440="Yes",Sum!$G440="Fees",Sum!N$397=M$5),Sum!N440,0)</f>
        <v>0</v>
      </c>
      <c r="N235" s="13">
        <f>IF(AND(Sum!$F440="Yes",Sum!$G440="Fees",Sum!O$397=N$5),Sum!O440,0)</f>
        <v>0</v>
      </c>
      <c r="O235" s="13">
        <f>IF(AND(Sum!$F440="Yes",Sum!$G440="Fees",Sum!P$397=O$5),Sum!P440,0)</f>
        <v>0</v>
      </c>
      <c r="P235" s="13">
        <f>IF(AND(Sum!$F440="Yes",Sum!$G440="Fees",Sum!Q$397=P$5),Sum!Q440,0)</f>
        <v>0</v>
      </c>
      <c r="Q235" s="264" t="str">
        <f>IF(AND(Sum!$F440="Yes",Sum!$G440="Fees"),Sum!$E440,"")</f>
        <v/>
      </c>
    </row>
    <row r="236" spans="1:17" ht="12.75" customHeight="1" x14ac:dyDescent="0.25">
      <c r="A236" s="18"/>
      <c r="B236" s="306" t="str">
        <f>IF(AND(Sum!$F441="Yes",Sum!$G441="Fees"),Sum!$B441,"")</f>
        <v/>
      </c>
      <c r="C236" s="13"/>
      <c r="D236" s="13"/>
      <c r="E236" s="13"/>
      <c r="F236" s="13"/>
      <c r="G236" s="153">
        <f>IF(AND(Sum!$F441="Yes",Sum!$G441="Fees",Sum!H$397=G$5),Sum!H441,0)</f>
        <v>0</v>
      </c>
      <c r="H236" s="13">
        <f>IF(AND(Sum!$F441="Yes",Sum!$G441="Fees",Sum!I$397=H$5),Sum!I441,0)</f>
        <v>0</v>
      </c>
      <c r="I236" s="13">
        <f>IF(AND(Sum!$F441="Yes",Sum!$G441="Fees",Sum!J$397=I$5),Sum!J441,0)</f>
        <v>0</v>
      </c>
      <c r="J236" s="13">
        <f>IF(AND(Sum!$F441="Yes",Sum!$G441="Fees",Sum!K$397=J$5),Sum!K441,0)</f>
        <v>0</v>
      </c>
      <c r="K236" s="13">
        <f>IF(AND(Sum!$F441="Yes",Sum!$G441="Fees",Sum!L$397=K$5),Sum!L441,0)</f>
        <v>0</v>
      </c>
      <c r="L236" s="13">
        <f>IF(AND(Sum!$F441="Yes",Sum!$G441="Fees",Sum!M$397=L$5),Sum!M441,0)</f>
        <v>0</v>
      </c>
      <c r="M236" s="13">
        <f>IF(AND(Sum!$F441="Yes",Sum!$G441="Fees",Sum!N$397=M$5),Sum!N441,0)</f>
        <v>0</v>
      </c>
      <c r="N236" s="13">
        <f>IF(AND(Sum!$F441="Yes",Sum!$G441="Fees",Sum!O$397=N$5),Sum!O441,0)</f>
        <v>0</v>
      </c>
      <c r="O236" s="13">
        <f>IF(AND(Sum!$F441="Yes",Sum!$G441="Fees",Sum!P$397=O$5),Sum!P441,0)</f>
        <v>0</v>
      </c>
      <c r="P236" s="13">
        <f>IF(AND(Sum!$F441="Yes",Sum!$G441="Fees",Sum!Q$397=P$5),Sum!Q441,0)</f>
        <v>0</v>
      </c>
      <c r="Q236" s="264" t="str">
        <f>IF(AND(Sum!$F441="Yes",Sum!$G441="Fees"),Sum!$E441,"")</f>
        <v/>
      </c>
    </row>
    <row r="237" spans="1:17" ht="12.75" customHeight="1" x14ac:dyDescent="0.25">
      <c r="A237" s="18"/>
      <c r="B237" s="306" t="str">
        <f>IF(AND(Sum!$F442="Yes",Sum!$G442="Fees"),Sum!$B442,"")</f>
        <v/>
      </c>
      <c r="C237" s="13"/>
      <c r="D237" s="13"/>
      <c r="E237" s="13"/>
      <c r="F237" s="13"/>
      <c r="G237" s="153">
        <f>IF(AND(Sum!$F442="Yes",Sum!$G442="Fees",Sum!H$397=G$5),Sum!H442,0)</f>
        <v>0</v>
      </c>
      <c r="H237" s="13">
        <f>IF(AND(Sum!$F442="Yes",Sum!$G442="Fees",Sum!I$397=H$5),Sum!I442,0)</f>
        <v>0</v>
      </c>
      <c r="I237" s="13">
        <f>IF(AND(Sum!$F442="Yes",Sum!$G442="Fees",Sum!J$397=I$5),Sum!J442,0)</f>
        <v>0</v>
      </c>
      <c r="J237" s="13">
        <f>IF(AND(Sum!$F442="Yes",Sum!$G442="Fees",Sum!K$397=J$5),Sum!K442,0)</f>
        <v>0</v>
      </c>
      <c r="K237" s="13">
        <f>IF(AND(Sum!$F442="Yes",Sum!$G442="Fees",Sum!L$397=K$5),Sum!L442,0)</f>
        <v>0</v>
      </c>
      <c r="L237" s="13">
        <f>IF(AND(Sum!$F442="Yes",Sum!$G442="Fees",Sum!M$397=L$5),Sum!M442,0)</f>
        <v>0</v>
      </c>
      <c r="M237" s="13">
        <f>IF(AND(Sum!$F442="Yes",Sum!$G442="Fees",Sum!N$397=M$5),Sum!N442,0)</f>
        <v>0</v>
      </c>
      <c r="N237" s="13">
        <f>IF(AND(Sum!$F442="Yes",Sum!$G442="Fees",Sum!O$397=N$5),Sum!O442,0)</f>
        <v>0</v>
      </c>
      <c r="O237" s="13">
        <f>IF(AND(Sum!$F442="Yes",Sum!$G442="Fees",Sum!P$397=O$5),Sum!P442,0)</f>
        <v>0</v>
      </c>
      <c r="P237" s="13">
        <f>IF(AND(Sum!$F442="Yes",Sum!$G442="Fees",Sum!Q$397=P$5),Sum!Q442,0)</f>
        <v>0</v>
      </c>
      <c r="Q237" s="264" t="str">
        <f>IF(AND(Sum!$F442="Yes",Sum!$G442="Fees"),Sum!$E442,"")</f>
        <v/>
      </c>
    </row>
    <row r="238" spans="1:17" ht="12.75" customHeight="1" x14ac:dyDescent="0.25">
      <c r="A238" s="18"/>
      <c r="B238" s="306" t="str">
        <f>IF(AND(Sum!$F443="Yes",Sum!$G443="Fees"),Sum!$B443,"")</f>
        <v/>
      </c>
      <c r="C238" s="13"/>
      <c r="D238" s="13"/>
      <c r="E238" s="13"/>
      <c r="F238" s="13"/>
      <c r="G238" s="153">
        <f>IF(AND(Sum!$F443="Yes",Sum!$G443="Fees",Sum!H$397=G$5),Sum!H443,0)</f>
        <v>0</v>
      </c>
      <c r="H238" s="13">
        <f>IF(AND(Sum!$F443="Yes",Sum!$G443="Fees",Sum!I$397=H$5),Sum!I443,0)</f>
        <v>0</v>
      </c>
      <c r="I238" s="13">
        <f>IF(AND(Sum!$F443="Yes",Sum!$G443="Fees",Sum!J$397=I$5),Sum!J443,0)</f>
        <v>0</v>
      </c>
      <c r="J238" s="13">
        <f>IF(AND(Sum!$F443="Yes",Sum!$G443="Fees",Sum!K$397=J$5),Sum!K443,0)</f>
        <v>0</v>
      </c>
      <c r="K238" s="13">
        <f>IF(AND(Sum!$F443="Yes",Sum!$G443="Fees",Sum!L$397=K$5),Sum!L443,0)</f>
        <v>0</v>
      </c>
      <c r="L238" s="13">
        <f>IF(AND(Sum!$F443="Yes",Sum!$G443="Fees",Sum!M$397=L$5),Sum!M443,0)</f>
        <v>0</v>
      </c>
      <c r="M238" s="13">
        <f>IF(AND(Sum!$F443="Yes",Sum!$G443="Fees",Sum!N$397=M$5),Sum!N443,0)</f>
        <v>0</v>
      </c>
      <c r="N238" s="13">
        <f>IF(AND(Sum!$F443="Yes",Sum!$G443="Fees",Sum!O$397=N$5),Sum!O443,0)</f>
        <v>0</v>
      </c>
      <c r="O238" s="13">
        <f>IF(AND(Sum!$F443="Yes",Sum!$G443="Fees",Sum!P$397=O$5),Sum!P443,0)</f>
        <v>0</v>
      </c>
      <c r="P238" s="13">
        <f>IF(AND(Sum!$F443="Yes",Sum!$G443="Fees",Sum!Q$397=P$5),Sum!Q443,0)</f>
        <v>0</v>
      </c>
      <c r="Q238" s="264" t="str">
        <f>IF(AND(Sum!$F443="Yes",Sum!$G443="Fees"),Sum!$E443,"")</f>
        <v/>
      </c>
    </row>
    <row r="239" spans="1:17" ht="12.75" customHeight="1" x14ac:dyDescent="0.25">
      <c r="A239" s="18"/>
      <c r="B239" s="306" t="str">
        <f>IF(AND(Sum!$F444="Yes",Sum!$G444="Fees"),Sum!$B444,"")</f>
        <v/>
      </c>
      <c r="C239" s="13"/>
      <c r="D239" s="13"/>
      <c r="E239" s="13"/>
      <c r="F239" s="13"/>
      <c r="G239" s="153">
        <f>IF(AND(Sum!$F444="Yes",Sum!$G444="Fees",Sum!H$397=G$5),Sum!H444,0)</f>
        <v>0</v>
      </c>
      <c r="H239" s="13">
        <f>IF(AND(Sum!$F444="Yes",Sum!$G444="Fees",Sum!I$397=H$5),Sum!I444,0)</f>
        <v>0</v>
      </c>
      <c r="I239" s="13">
        <f>IF(AND(Sum!$F444="Yes",Sum!$G444="Fees",Sum!J$397=I$5),Sum!J444,0)</f>
        <v>0</v>
      </c>
      <c r="J239" s="13">
        <f>IF(AND(Sum!$F444="Yes",Sum!$G444="Fees",Sum!K$397=J$5),Sum!K444,0)</f>
        <v>0</v>
      </c>
      <c r="K239" s="13">
        <f>IF(AND(Sum!$F444="Yes",Sum!$G444="Fees",Sum!L$397=K$5),Sum!L444,0)</f>
        <v>0</v>
      </c>
      <c r="L239" s="13">
        <f>IF(AND(Sum!$F444="Yes",Sum!$G444="Fees",Sum!M$397=L$5),Sum!M444,0)</f>
        <v>0</v>
      </c>
      <c r="M239" s="13">
        <f>IF(AND(Sum!$F444="Yes",Sum!$G444="Fees",Sum!N$397=M$5),Sum!N444,0)</f>
        <v>0</v>
      </c>
      <c r="N239" s="13">
        <f>IF(AND(Sum!$F444="Yes",Sum!$G444="Fees",Sum!O$397=N$5),Sum!O444,0)</f>
        <v>0</v>
      </c>
      <c r="O239" s="13">
        <f>IF(AND(Sum!$F444="Yes",Sum!$G444="Fees",Sum!P$397=O$5),Sum!P444,0)</f>
        <v>0</v>
      </c>
      <c r="P239" s="13">
        <f>IF(AND(Sum!$F444="Yes",Sum!$G444="Fees",Sum!Q$397=P$5),Sum!Q444,0)</f>
        <v>0</v>
      </c>
      <c r="Q239" s="264" t="str">
        <f>IF(AND(Sum!$F444="Yes",Sum!$G444="Fees"),Sum!$E444,"")</f>
        <v/>
      </c>
    </row>
    <row r="240" spans="1:17" ht="12.75" customHeight="1" x14ac:dyDescent="0.25">
      <c r="A240" s="18"/>
      <c r="B240" s="306" t="str">
        <f>IF(AND(Sum!$F445="Yes",Sum!$G445="Fees"),Sum!$B445,"")</f>
        <v/>
      </c>
      <c r="C240" s="13"/>
      <c r="D240" s="13"/>
      <c r="E240" s="13"/>
      <c r="F240" s="13"/>
      <c r="G240" s="153">
        <f>IF(AND(Sum!$F445="Yes",Sum!$G445="Fees",Sum!H$397=G$5),Sum!H445,0)</f>
        <v>0</v>
      </c>
      <c r="H240" s="13">
        <f>IF(AND(Sum!$F445="Yes",Sum!$G445="Fees",Sum!I$397=H$5),Sum!I445,0)</f>
        <v>0</v>
      </c>
      <c r="I240" s="13">
        <f>IF(AND(Sum!$F445="Yes",Sum!$G445="Fees",Sum!J$397=I$5),Sum!J445,0)</f>
        <v>0</v>
      </c>
      <c r="J240" s="13">
        <f>IF(AND(Sum!$F445="Yes",Sum!$G445="Fees",Sum!K$397=J$5),Sum!K445,0)</f>
        <v>0</v>
      </c>
      <c r="K240" s="13">
        <f>IF(AND(Sum!$F445="Yes",Sum!$G445="Fees",Sum!L$397=K$5),Sum!L445,0)</f>
        <v>0</v>
      </c>
      <c r="L240" s="13">
        <f>IF(AND(Sum!$F445="Yes",Sum!$G445="Fees",Sum!M$397=L$5),Sum!M445,0)</f>
        <v>0</v>
      </c>
      <c r="M240" s="13">
        <f>IF(AND(Sum!$F445="Yes",Sum!$G445="Fees",Sum!N$397=M$5),Sum!N445,0)</f>
        <v>0</v>
      </c>
      <c r="N240" s="13">
        <f>IF(AND(Sum!$F445="Yes",Sum!$G445="Fees",Sum!O$397=N$5),Sum!O445,0)</f>
        <v>0</v>
      </c>
      <c r="O240" s="13">
        <f>IF(AND(Sum!$F445="Yes",Sum!$G445="Fees",Sum!P$397=O$5),Sum!P445,0)</f>
        <v>0</v>
      </c>
      <c r="P240" s="13">
        <f>IF(AND(Sum!$F445="Yes",Sum!$G445="Fees",Sum!Q$397=P$5),Sum!Q445,0)</f>
        <v>0</v>
      </c>
      <c r="Q240" s="264" t="str">
        <f>IF(AND(Sum!$F445="Yes",Sum!$G445="Fees"),Sum!$E445,"")</f>
        <v/>
      </c>
    </row>
    <row r="241" spans="1:17" ht="12.75" customHeight="1" x14ac:dyDescent="0.25">
      <c r="A241" s="18"/>
      <c r="B241" s="306" t="str">
        <f>IF(AND(Sum!$F446="Yes",Sum!$G446="Fees"),Sum!$B446,"")</f>
        <v/>
      </c>
      <c r="C241" s="13"/>
      <c r="D241" s="13"/>
      <c r="E241" s="13"/>
      <c r="F241" s="13"/>
      <c r="G241" s="153">
        <f>IF(AND(Sum!$F446="Yes",Sum!$G446="Fees",Sum!H$397=G$5),Sum!H446,0)</f>
        <v>0</v>
      </c>
      <c r="H241" s="13">
        <f>IF(AND(Sum!$F446="Yes",Sum!$G446="Fees",Sum!I$397=H$5),Sum!I446,0)</f>
        <v>0</v>
      </c>
      <c r="I241" s="13">
        <f>IF(AND(Sum!$F446="Yes",Sum!$G446="Fees",Sum!J$397=I$5),Sum!J446,0)</f>
        <v>0</v>
      </c>
      <c r="J241" s="13">
        <f>IF(AND(Sum!$F446="Yes",Sum!$G446="Fees",Sum!K$397=J$5),Sum!K446,0)</f>
        <v>0</v>
      </c>
      <c r="K241" s="13">
        <f>IF(AND(Sum!$F446="Yes",Sum!$G446="Fees",Sum!L$397=K$5),Sum!L446,0)</f>
        <v>0</v>
      </c>
      <c r="L241" s="13">
        <f>IF(AND(Sum!$F446="Yes",Sum!$G446="Fees",Sum!M$397=L$5),Sum!M446,0)</f>
        <v>0</v>
      </c>
      <c r="M241" s="13">
        <f>IF(AND(Sum!$F446="Yes",Sum!$G446="Fees",Sum!N$397=M$5),Sum!N446,0)</f>
        <v>0</v>
      </c>
      <c r="N241" s="13">
        <f>IF(AND(Sum!$F446="Yes",Sum!$G446="Fees",Sum!O$397=N$5),Sum!O446,0)</f>
        <v>0</v>
      </c>
      <c r="O241" s="13">
        <f>IF(AND(Sum!$F446="Yes",Sum!$G446="Fees",Sum!P$397=O$5),Sum!P446,0)</f>
        <v>0</v>
      </c>
      <c r="P241" s="13">
        <f>IF(AND(Sum!$F446="Yes",Sum!$G446="Fees",Sum!Q$397=P$5),Sum!Q446,0)</f>
        <v>0</v>
      </c>
      <c r="Q241" s="264" t="str">
        <f>IF(AND(Sum!$F446="Yes",Sum!$G446="Fees"),Sum!$E446,"")</f>
        <v/>
      </c>
    </row>
    <row r="242" spans="1:17" ht="12.75" customHeight="1" x14ac:dyDescent="0.25">
      <c r="A242" s="18"/>
      <c r="B242" s="306" t="str">
        <f>IF(AND(Sum!$F447="Yes",Sum!$G447="Fees"),Sum!$B447,"")</f>
        <v/>
      </c>
      <c r="C242" s="13"/>
      <c r="D242" s="13"/>
      <c r="E242" s="13"/>
      <c r="F242" s="13"/>
      <c r="G242" s="153">
        <f>IF(AND(Sum!$F447="Yes",Sum!$G447="Fees",Sum!H$397=G$5),Sum!H447,0)</f>
        <v>0</v>
      </c>
      <c r="H242" s="13">
        <f>IF(AND(Sum!$F447="Yes",Sum!$G447="Fees",Sum!I$397=H$5),Sum!I447,0)</f>
        <v>0</v>
      </c>
      <c r="I242" s="13">
        <f>IF(AND(Sum!$F447="Yes",Sum!$G447="Fees",Sum!J$397=I$5),Sum!J447,0)</f>
        <v>0</v>
      </c>
      <c r="J242" s="13">
        <f>IF(AND(Sum!$F447="Yes",Sum!$G447="Fees",Sum!K$397=J$5),Sum!K447,0)</f>
        <v>0</v>
      </c>
      <c r="K242" s="13">
        <f>IF(AND(Sum!$F447="Yes",Sum!$G447="Fees",Sum!L$397=K$5),Sum!L447,0)</f>
        <v>0</v>
      </c>
      <c r="L242" s="13">
        <f>IF(AND(Sum!$F447="Yes",Sum!$G447="Fees",Sum!M$397=L$5),Sum!M447,0)</f>
        <v>0</v>
      </c>
      <c r="M242" s="13">
        <f>IF(AND(Sum!$F447="Yes",Sum!$G447="Fees",Sum!N$397=M$5),Sum!N447,0)</f>
        <v>0</v>
      </c>
      <c r="N242" s="13">
        <f>IF(AND(Sum!$F447="Yes",Sum!$G447="Fees",Sum!O$397=N$5),Sum!O447,0)</f>
        <v>0</v>
      </c>
      <c r="O242" s="13">
        <f>IF(AND(Sum!$F447="Yes",Sum!$G447="Fees",Sum!P$397=O$5),Sum!P447,0)</f>
        <v>0</v>
      </c>
      <c r="P242" s="13">
        <f>IF(AND(Sum!$F447="Yes",Sum!$G447="Fees",Sum!Q$397=P$5),Sum!Q447,0)</f>
        <v>0</v>
      </c>
      <c r="Q242" s="264" t="str">
        <f>IF(AND(Sum!$F447="Yes",Sum!$G447="Fees"),Sum!$E447,"")</f>
        <v/>
      </c>
    </row>
    <row r="243" spans="1:17" ht="12.75" customHeight="1" x14ac:dyDescent="0.25">
      <c r="A243" s="18"/>
      <c r="B243" s="306" t="str">
        <f>IF(AND(Sum!$F448="Yes",Sum!$G448="Fees"),Sum!$B448,"")</f>
        <v/>
      </c>
      <c r="C243" s="13"/>
      <c r="D243" s="13"/>
      <c r="E243" s="13"/>
      <c r="F243" s="13"/>
      <c r="G243" s="153">
        <f>IF(AND(Sum!$F448="Yes",Sum!$G448="Fees",Sum!H$397=G$5),Sum!H448,0)</f>
        <v>0</v>
      </c>
      <c r="H243" s="13">
        <f>IF(AND(Sum!$F448="Yes",Sum!$G448="Fees",Sum!I$397=H$5),Sum!I448,0)</f>
        <v>0</v>
      </c>
      <c r="I243" s="13">
        <f>IF(AND(Sum!$F448="Yes",Sum!$G448="Fees",Sum!J$397=I$5),Sum!J448,0)</f>
        <v>0</v>
      </c>
      <c r="J243" s="13">
        <f>IF(AND(Sum!$F448="Yes",Sum!$G448="Fees",Sum!K$397=J$5),Sum!K448,0)</f>
        <v>0</v>
      </c>
      <c r="K243" s="13">
        <f>IF(AND(Sum!$F448="Yes",Sum!$G448="Fees",Sum!L$397=K$5),Sum!L448,0)</f>
        <v>0</v>
      </c>
      <c r="L243" s="13">
        <f>IF(AND(Sum!$F448="Yes",Sum!$G448="Fees",Sum!M$397=L$5),Sum!M448,0)</f>
        <v>0</v>
      </c>
      <c r="M243" s="13">
        <f>IF(AND(Sum!$F448="Yes",Sum!$G448="Fees",Sum!N$397=M$5),Sum!N448,0)</f>
        <v>0</v>
      </c>
      <c r="N243" s="13">
        <f>IF(AND(Sum!$F448="Yes",Sum!$G448="Fees",Sum!O$397=N$5),Sum!O448,0)</f>
        <v>0</v>
      </c>
      <c r="O243" s="13">
        <f>IF(AND(Sum!$F448="Yes",Sum!$G448="Fees",Sum!P$397=O$5),Sum!P448,0)</f>
        <v>0</v>
      </c>
      <c r="P243" s="13">
        <f>IF(AND(Sum!$F448="Yes",Sum!$G448="Fees",Sum!Q$397=P$5),Sum!Q448,0)</f>
        <v>0</v>
      </c>
      <c r="Q243" s="264" t="str">
        <f>IF(AND(Sum!$F448="Yes",Sum!$G448="Fees"),Sum!$E448,"")</f>
        <v/>
      </c>
    </row>
    <row r="244" spans="1:17" ht="12.75" customHeight="1" x14ac:dyDescent="0.25">
      <c r="A244" s="18"/>
      <c r="B244" s="306" t="str">
        <f>IF(AND(Sum!$F449="Yes",Sum!$G449="Fees"),Sum!$B449,"")</f>
        <v/>
      </c>
      <c r="C244" s="13"/>
      <c r="D244" s="13"/>
      <c r="E244" s="13"/>
      <c r="F244" s="13"/>
      <c r="G244" s="153">
        <f>IF(AND(Sum!$F449="Yes",Sum!$G449="Fees",Sum!H$397=G$5),Sum!H449,0)</f>
        <v>0</v>
      </c>
      <c r="H244" s="13">
        <f>IF(AND(Sum!$F449="Yes",Sum!$G449="Fees",Sum!I$397=H$5),Sum!I449,0)</f>
        <v>0</v>
      </c>
      <c r="I244" s="13">
        <f>IF(AND(Sum!$F449="Yes",Sum!$G449="Fees",Sum!J$397=I$5),Sum!J449,0)</f>
        <v>0</v>
      </c>
      <c r="J244" s="13">
        <f>IF(AND(Sum!$F449="Yes",Sum!$G449="Fees",Sum!K$397=J$5),Sum!K449,0)</f>
        <v>0</v>
      </c>
      <c r="K244" s="13">
        <f>IF(AND(Sum!$F449="Yes",Sum!$G449="Fees",Sum!L$397=K$5),Sum!L449,0)</f>
        <v>0</v>
      </c>
      <c r="L244" s="13">
        <f>IF(AND(Sum!$F449="Yes",Sum!$G449="Fees",Sum!M$397=L$5),Sum!M449,0)</f>
        <v>0</v>
      </c>
      <c r="M244" s="13">
        <f>IF(AND(Sum!$F449="Yes",Sum!$G449="Fees",Sum!N$397=M$5),Sum!N449,0)</f>
        <v>0</v>
      </c>
      <c r="N244" s="13">
        <f>IF(AND(Sum!$F449="Yes",Sum!$G449="Fees",Sum!O$397=N$5),Sum!O449,0)</f>
        <v>0</v>
      </c>
      <c r="O244" s="13">
        <f>IF(AND(Sum!$F449="Yes",Sum!$G449="Fees",Sum!P$397=O$5),Sum!P449,0)</f>
        <v>0</v>
      </c>
      <c r="P244" s="13">
        <f>IF(AND(Sum!$F449="Yes",Sum!$G449="Fees",Sum!Q$397=P$5),Sum!Q449,0)</f>
        <v>0</v>
      </c>
      <c r="Q244" s="264" t="str">
        <f>IF(AND(Sum!$F449="Yes",Sum!$G449="Fees"),Sum!$E449,"")</f>
        <v/>
      </c>
    </row>
    <row r="245" spans="1:17" ht="12.75" customHeight="1" x14ac:dyDescent="0.25">
      <c r="A245" s="18"/>
      <c r="B245" s="306" t="str">
        <f>IF(AND(Sum!$F450="Yes",Sum!$G450="Fees"),Sum!$B450,"")</f>
        <v/>
      </c>
      <c r="C245" s="13"/>
      <c r="D245" s="13"/>
      <c r="E245" s="13"/>
      <c r="F245" s="13"/>
      <c r="G245" s="153">
        <f>IF(AND(Sum!$F450="Yes",Sum!$G450="Fees",Sum!H$397=G$5),Sum!H450,0)</f>
        <v>0</v>
      </c>
      <c r="H245" s="13">
        <f>IF(AND(Sum!$F450="Yes",Sum!$G450="Fees",Sum!I$397=H$5),Sum!I450,0)</f>
        <v>0</v>
      </c>
      <c r="I245" s="13">
        <f>IF(AND(Sum!$F450="Yes",Sum!$G450="Fees",Sum!J$397=I$5),Sum!J450,0)</f>
        <v>0</v>
      </c>
      <c r="J245" s="13">
        <f>IF(AND(Sum!$F450="Yes",Sum!$G450="Fees",Sum!K$397=J$5),Sum!K450,0)</f>
        <v>0</v>
      </c>
      <c r="K245" s="13">
        <f>IF(AND(Sum!$F450="Yes",Sum!$G450="Fees",Sum!L$397=K$5),Sum!L450,0)</f>
        <v>0</v>
      </c>
      <c r="L245" s="13">
        <f>IF(AND(Sum!$F450="Yes",Sum!$G450="Fees",Sum!M$397=L$5),Sum!M450,0)</f>
        <v>0</v>
      </c>
      <c r="M245" s="13">
        <f>IF(AND(Sum!$F450="Yes",Sum!$G450="Fees",Sum!N$397=M$5),Sum!N450,0)</f>
        <v>0</v>
      </c>
      <c r="N245" s="13">
        <f>IF(AND(Sum!$F450="Yes",Sum!$G450="Fees",Sum!O$397=N$5),Sum!O450,0)</f>
        <v>0</v>
      </c>
      <c r="O245" s="13">
        <f>IF(AND(Sum!$F450="Yes",Sum!$G450="Fees",Sum!P$397=O$5),Sum!P450,0)</f>
        <v>0</v>
      </c>
      <c r="P245" s="13">
        <f>IF(AND(Sum!$F450="Yes",Sum!$G450="Fees",Sum!Q$397=P$5),Sum!Q450,0)</f>
        <v>0</v>
      </c>
      <c r="Q245" s="264" t="str">
        <f>IF(AND(Sum!$F450="Yes",Sum!$G450="Fees"),Sum!$E450,"")</f>
        <v/>
      </c>
    </row>
    <row r="246" spans="1:17" ht="12.75" customHeight="1" x14ac:dyDescent="0.25">
      <c r="A246" s="18"/>
      <c r="B246" s="306" t="str">
        <f>IF(AND(Sum!$F451="Yes",Sum!$G451="Fees"),Sum!$B451,"")</f>
        <v/>
      </c>
      <c r="C246" s="13"/>
      <c r="D246" s="13"/>
      <c r="E246" s="13"/>
      <c r="F246" s="13"/>
      <c r="G246" s="153">
        <f>IF(AND(Sum!$F451="Yes",Sum!$G451="Fees",Sum!H$397=G$5),Sum!H451,0)</f>
        <v>0</v>
      </c>
      <c r="H246" s="13">
        <f>IF(AND(Sum!$F451="Yes",Sum!$G451="Fees",Sum!I$397=H$5),Sum!I451,0)</f>
        <v>0</v>
      </c>
      <c r="I246" s="13">
        <f>IF(AND(Sum!$F451="Yes",Sum!$G451="Fees",Sum!J$397=I$5),Sum!J451,0)</f>
        <v>0</v>
      </c>
      <c r="J246" s="13">
        <f>IF(AND(Sum!$F451="Yes",Sum!$G451="Fees",Sum!K$397=J$5),Sum!K451,0)</f>
        <v>0</v>
      </c>
      <c r="K246" s="13">
        <f>IF(AND(Sum!$F451="Yes",Sum!$G451="Fees",Sum!L$397=K$5),Sum!L451,0)</f>
        <v>0</v>
      </c>
      <c r="L246" s="13">
        <f>IF(AND(Sum!$F451="Yes",Sum!$G451="Fees",Sum!M$397=L$5),Sum!M451,0)</f>
        <v>0</v>
      </c>
      <c r="M246" s="13">
        <f>IF(AND(Sum!$F451="Yes",Sum!$G451="Fees",Sum!N$397=M$5),Sum!N451,0)</f>
        <v>0</v>
      </c>
      <c r="N246" s="13">
        <f>IF(AND(Sum!$F451="Yes",Sum!$G451="Fees",Sum!O$397=N$5),Sum!O451,0)</f>
        <v>0</v>
      </c>
      <c r="O246" s="13">
        <f>IF(AND(Sum!$F451="Yes",Sum!$G451="Fees",Sum!P$397=O$5),Sum!P451,0)</f>
        <v>0</v>
      </c>
      <c r="P246" s="13">
        <f>IF(AND(Sum!$F451="Yes",Sum!$G451="Fees",Sum!Q$397=P$5),Sum!Q451,0)</f>
        <v>0</v>
      </c>
      <c r="Q246" s="264" t="str">
        <f>IF(AND(Sum!$F451="Yes",Sum!$G451="Fees"),Sum!$E451,"")</f>
        <v/>
      </c>
    </row>
    <row r="247" spans="1:17" ht="12.75" customHeight="1" x14ac:dyDescent="0.25">
      <c r="A247" s="18"/>
      <c r="B247" s="306" t="str">
        <f>IF(AND(Sum!$F452="Yes",Sum!$G452="Fees"),Sum!$B452,"")</f>
        <v/>
      </c>
      <c r="C247" s="13"/>
      <c r="D247" s="13"/>
      <c r="E247" s="13"/>
      <c r="F247" s="13"/>
      <c r="G247" s="153">
        <f>IF(AND(Sum!$F452="Yes",Sum!$G452="Fees",Sum!H$397=G$5),Sum!H452,0)</f>
        <v>0</v>
      </c>
      <c r="H247" s="13">
        <f>IF(AND(Sum!$F452="Yes",Sum!$G452="Fees",Sum!I$397=H$5),Sum!I452,0)</f>
        <v>0</v>
      </c>
      <c r="I247" s="13">
        <f>IF(AND(Sum!$F452="Yes",Sum!$G452="Fees",Sum!J$397=I$5),Sum!J452,0)</f>
        <v>0</v>
      </c>
      <c r="J247" s="13">
        <f>IF(AND(Sum!$F452="Yes",Sum!$G452="Fees",Sum!K$397=J$5),Sum!K452,0)</f>
        <v>0</v>
      </c>
      <c r="K247" s="13">
        <f>IF(AND(Sum!$F452="Yes",Sum!$G452="Fees",Sum!L$397=K$5),Sum!L452,0)</f>
        <v>0</v>
      </c>
      <c r="L247" s="13">
        <f>IF(AND(Sum!$F452="Yes",Sum!$G452="Fees",Sum!M$397=L$5),Sum!M452,0)</f>
        <v>0</v>
      </c>
      <c r="M247" s="13">
        <f>IF(AND(Sum!$F452="Yes",Sum!$G452="Fees",Sum!N$397=M$5),Sum!N452,0)</f>
        <v>0</v>
      </c>
      <c r="N247" s="13">
        <f>IF(AND(Sum!$F452="Yes",Sum!$G452="Fees",Sum!O$397=N$5),Sum!O452,0)</f>
        <v>0</v>
      </c>
      <c r="O247" s="13">
        <f>IF(AND(Sum!$F452="Yes",Sum!$G452="Fees",Sum!P$397=O$5),Sum!P452,0)</f>
        <v>0</v>
      </c>
      <c r="P247" s="13">
        <f>IF(AND(Sum!$F452="Yes",Sum!$G452="Fees",Sum!Q$397=P$5),Sum!Q452,0)</f>
        <v>0</v>
      </c>
      <c r="Q247" s="264" t="str">
        <f>IF(AND(Sum!$F452="Yes",Sum!$G452="Fees"),Sum!$E452,"")</f>
        <v/>
      </c>
    </row>
    <row r="248" spans="1:17" ht="12.75" customHeight="1" x14ac:dyDescent="0.25">
      <c r="A248" s="18"/>
      <c r="B248" s="306" t="str">
        <f>IF(AND(Sum!$F453="Yes",Sum!$G453="Fees"),Sum!$B453,"")</f>
        <v/>
      </c>
      <c r="C248" s="13"/>
      <c r="D248" s="13"/>
      <c r="E248" s="13"/>
      <c r="F248" s="13"/>
      <c r="G248" s="153">
        <f>IF(AND(Sum!$F453="Yes",Sum!$G453="Fees",Sum!H$397=G$5),Sum!H453,0)</f>
        <v>0</v>
      </c>
      <c r="H248" s="13">
        <f>IF(AND(Sum!$F453="Yes",Sum!$G453="Fees",Sum!I$397=H$5),Sum!I453,0)</f>
        <v>0</v>
      </c>
      <c r="I248" s="13">
        <f>IF(AND(Sum!$F453="Yes",Sum!$G453="Fees",Sum!J$397=I$5),Sum!J453,0)</f>
        <v>0</v>
      </c>
      <c r="J248" s="13">
        <f>IF(AND(Sum!$F453="Yes",Sum!$G453="Fees",Sum!K$397=J$5),Sum!K453,0)</f>
        <v>0</v>
      </c>
      <c r="K248" s="13">
        <f>IF(AND(Sum!$F453="Yes",Sum!$G453="Fees",Sum!L$397=K$5),Sum!L453,0)</f>
        <v>0</v>
      </c>
      <c r="L248" s="13">
        <f>IF(AND(Sum!$F453="Yes",Sum!$G453="Fees",Sum!M$397=L$5),Sum!M453,0)</f>
        <v>0</v>
      </c>
      <c r="M248" s="13">
        <f>IF(AND(Sum!$F453="Yes",Sum!$G453="Fees",Sum!N$397=M$5),Sum!N453,0)</f>
        <v>0</v>
      </c>
      <c r="N248" s="13">
        <f>IF(AND(Sum!$F453="Yes",Sum!$G453="Fees",Sum!O$397=N$5),Sum!O453,0)</f>
        <v>0</v>
      </c>
      <c r="O248" s="13">
        <f>IF(AND(Sum!$F453="Yes",Sum!$G453="Fees",Sum!P$397=O$5),Sum!P453,0)</f>
        <v>0</v>
      </c>
      <c r="P248" s="13">
        <f>IF(AND(Sum!$F453="Yes",Sum!$G453="Fees",Sum!Q$397=P$5),Sum!Q453,0)</f>
        <v>0</v>
      </c>
      <c r="Q248" s="264" t="str">
        <f>IF(AND(Sum!$F453="Yes",Sum!$G453="Fees"),Sum!$E453,"")</f>
        <v/>
      </c>
    </row>
    <row r="249" spans="1:17" ht="12.75" customHeight="1" x14ac:dyDescent="0.25">
      <c r="A249" s="18"/>
      <c r="B249" s="306" t="str">
        <f>IF(AND(Sum!$F454="Yes",Sum!$G454="Fees"),Sum!$B454,"")</f>
        <v/>
      </c>
      <c r="C249" s="13"/>
      <c r="D249" s="13"/>
      <c r="E249" s="13"/>
      <c r="F249" s="13"/>
      <c r="G249" s="153">
        <f>IF(AND(Sum!$F454="Yes",Sum!$G454="Fees",Sum!H$397=G$5),Sum!H454,0)</f>
        <v>0</v>
      </c>
      <c r="H249" s="13">
        <f>IF(AND(Sum!$F454="Yes",Sum!$G454="Fees",Sum!I$397=H$5),Sum!I454,0)</f>
        <v>0</v>
      </c>
      <c r="I249" s="13">
        <f>IF(AND(Sum!$F454="Yes",Sum!$G454="Fees",Sum!J$397=I$5),Sum!J454,0)</f>
        <v>0</v>
      </c>
      <c r="J249" s="13">
        <f>IF(AND(Sum!$F454="Yes",Sum!$G454="Fees",Sum!K$397=J$5),Sum!K454,0)</f>
        <v>0</v>
      </c>
      <c r="K249" s="13">
        <f>IF(AND(Sum!$F454="Yes",Sum!$G454="Fees",Sum!L$397=K$5),Sum!L454,0)</f>
        <v>0</v>
      </c>
      <c r="L249" s="13">
        <f>IF(AND(Sum!$F454="Yes",Sum!$G454="Fees",Sum!M$397=L$5),Sum!M454,0)</f>
        <v>0</v>
      </c>
      <c r="M249" s="13">
        <f>IF(AND(Sum!$F454="Yes",Sum!$G454="Fees",Sum!N$397=M$5),Sum!N454,0)</f>
        <v>0</v>
      </c>
      <c r="N249" s="13">
        <f>IF(AND(Sum!$F454="Yes",Sum!$G454="Fees",Sum!O$397=N$5),Sum!O454,0)</f>
        <v>0</v>
      </c>
      <c r="O249" s="13">
        <f>IF(AND(Sum!$F454="Yes",Sum!$G454="Fees",Sum!P$397=O$5),Sum!P454,0)</f>
        <v>0</v>
      </c>
      <c r="P249" s="13">
        <f>IF(AND(Sum!$F454="Yes",Sum!$G454="Fees",Sum!Q$397=P$5),Sum!Q454,0)</f>
        <v>0</v>
      </c>
      <c r="Q249" s="264" t="str">
        <f>IF(AND(Sum!$F454="Yes",Sum!$G454="Fees"),Sum!$E454,"")</f>
        <v/>
      </c>
    </row>
    <row r="250" spans="1:17" ht="12.75" customHeight="1" x14ac:dyDescent="0.25">
      <c r="A250" s="18"/>
      <c r="B250" s="306" t="str">
        <f>IF(AND(Sum!$F455="Yes",Sum!$G455="Fees"),Sum!$B455,"")</f>
        <v/>
      </c>
      <c r="C250" s="13"/>
      <c r="D250" s="13"/>
      <c r="E250" s="13"/>
      <c r="F250" s="13"/>
      <c r="G250" s="153">
        <f>IF(AND(Sum!$F455="Yes",Sum!$G455="Fees",Sum!H$397=G$5),Sum!H455,0)</f>
        <v>0</v>
      </c>
      <c r="H250" s="13">
        <f>IF(AND(Sum!$F455="Yes",Sum!$G455="Fees",Sum!I$397=H$5),Sum!I455,0)</f>
        <v>0</v>
      </c>
      <c r="I250" s="13">
        <f>IF(AND(Sum!$F455="Yes",Sum!$G455="Fees",Sum!J$397=I$5),Sum!J455,0)</f>
        <v>0</v>
      </c>
      <c r="J250" s="13">
        <f>IF(AND(Sum!$F455="Yes",Sum!$G455="Fees",Sum!K$397=J$5),Sum!K455,0)</f>
        <v>0</v>
      </c>
      <c r="K250" s="13">
        <f>IF(AND(Sum!$F455="Yes",Sum!$G455="Fees",Sum!L$397=K$5),Sum!L455,0)</f>
        <v>0</v>
      </c>
      <c r="L250" s="13">
        <f>IF(AND(Sum!$F455="Yes",Sum!$G455="Fees",Sum!M$397=L$5),Sum!M455,0)</f>
        <v>0</v>
      </c>
      <c r="M250" s="13">
        <f>IF(AND(Sum!$F455="Yes",Sum!$G455="Fees",Sum!N$397=M$5),Sum!N455,0)</f>
        <v>0</v>
      </c>
      <c r="N250" s="13">
        <f>IF(AND(Sum!$F455="Yes",Sum!$G455="Fees",Sum!O$397=N$5),Sum!O455,0)</f>
        <v>0</v>
      </c>
      <c r="O250" s="13">
        <f>IF(AND(Sum!$F455="Yes",Sum!$G455="Fees",Sum!P$397=O$5),Sum!P455,0)</f>
        <v>0</v>
      </c>
      <c r="P250" s="13">
        <f>IF(AND(Sum!$F455="Yes",Sum!$G455="Fees",Sum!Q$397=P$5),Sum!Q455,0)</f>
        <v>0</v>
      </c>
      <c r="Q250" s="264" t="str">
        <f>IF(AND(Sum!$F455="Yes",Sum!$G455="Fees"),Sum!$E455,"")</f>
        <v/>
      </c>
    </row>
    <row r="251" spans="1:17" ht="12.75" customHeight="1" x14ac:dyDescent="0.25">
      <c r="A251" s="18"/>
      <c r="B251" s="306" t="str">
        <f>IF(AND(Sum!$F456="Yes",Sum!$G456="Fees"),Sum!$B456,"")</f>
        <v/>
      </c>
      <c r="C251" s="13"/>
      <c r="D251" s="13"/>
      <c r="E251" s="13"/>
      <c r="F251" s="13"/>
      <c r="G251" s="153">
        <f>IF(AND(Sum!$F456="Yes",Sum!$G456="Fees",Sum!H$397=G$5),Sum!H456,0)</f>
        <v>0</v>
      </c>
      <c r="H251" s="13">
        <f>IF(AND(Sum!$F456="Yes",Sum!$G456="Fees",Sum!I$397=H$5),Sum!I456,0)</f>
        <v>0</v>
      </c>
      <c r="I251" s="13">
        <f>IF(AND(Sum!$F456="Yes",Sum!$G456="Fees",Sum!J$397=I$5),Sum!J456,0)</f>
        <v>0</v>
      </c>
      <c r="J251" s="13">
        <f>IF(AND(Sum!$F456="Yes",Sum!$G456="Fees",Sum!K$397=J$5),Sum!K456,0)</f>
        <v>0</v>
      </c>
      <c r="K251" s="13">
        <f>IF(AND(Sum!$F456="Yes",Sum!$G456="Fees",Sum!L$397=K$5),Sum!L456,0)</f>
        <v>0</v>
      </c>
      <c r="L251" s="13">
        <f>IF(AND(Sum!$F456="Yes",Sum!$G456="Fees",Sum!M$397=L$5),Sum!M456,0)</f>
        <v>0</v>
      </c>
      <c r="M251" s="13">
        <f>IF(AND(Sum!$F456="Yes",Sum!$G456="Fees",Sum!N$397=M$5),Sum!N456,0)</f>
        <v>0</v>
      </c>
      <c r="N251" s="13">
        <f>IF(AND(Sum!$F456="Yes",Sum!$G456="Fees",Sum!O$397=N$5),Sum!O456,0)</f>
        <v>0</v>
      </c>
      <c r="O251" s="13">
        <f>IF(AND(Sum!$F456="Yes",Sum!$G456="Fees",Sum!P$397=O$5),Sum!P456,0)</f>
        <v>0</v>
      </c>
      <c r="P251" s="13">
        <f>IF(AND(Sum!$F456="Yes",Sum!$G456="Fees",Sum!Q$397=P$5),Sum!Q456,0)</f>
        <v>0</v>
      </c>
      <c r="Q251" s="264" t="str">
        <f>IF(AND(Sum!$F456="Yes",Sum!$G456="Fees"),Sum!$E456,"")</f>
        <v/>
      </c>
    </row>
    <row r="252" spans="1:17" ht="12.75" customHeight="1" x14ac:dyDescent="0.25">
      <c r="A252" s="18"/>
      <c r="B252" s="306" t="str">
        <f>IF(AND(Sum!$F457="Yes",Sum!$G457="Fees"),Sum!$B457,"")</f>
        <v/>
      </c>
      <c r="C252" s="13"/>
      <c r="D252" s="13"/>
      <c r="E252" s="13"/>
      <c r="F252" s="13"/>
      <c r="G252" s="153">
        <f>IF(AND(Sum!$F457="Yes",Sum!$G457="Fees",Sum!H$397=G$5),Sum!H457,0)</f>
        <v>0</v>
      </c>
      <c r="H252" s="13">
        <f>IF(AND(Sum!$F457="Yes",Sum!$G457="Fees",Sum!I$397=H$5),Sum!I457,0)</f>
        <v>0</v>
      </c>
      <c r="I252" s="13">
        <f>IF(AND(Sum!$F457="Yes",Sum!$G457="Fees",Sum!J$397=I$5),Sum!J457,0)</f>
        <v>0</v>
      </c>
      <c r="J252" s="13">
        <f>IF(AND(Sum!$F457="Yes",Sum!$G457="Fees",Sum!K$397=J$5),Sum!K457,0)</f>
        <v>0</v>
      </c>
      <c r="K252" s="13">
        <f>IF(AND(Sum!$F457="Yes",Sum!$G457="Fees",Sum!L$397=K$5),Sum!L457,0)</f>
        <v>0</v>
      </c>
      <c r="L252" s="13">
        <f>IF(AND(Sum!$F457="Yes",Sum!$G457="Fees",Sum!M$397=L$5),Sum!M457,0)</f>
        <v>0</v>
      </c>
      <c r="M252" s="13">
        <f>IF(AND(Sum!$F457="Yes",Sum!$G457="Fees",Sum!N$397=M$5),Sum!N457,0)</f>
        <v>0</v>
      </c>
      <c r="N252" s="13">
        <f>IF(AND(Sum!$F457="Yes",Sum!$G457="Fees",Sum!O$397=N$5),Sum!O457,0)</f>
        <v>0</v>
      </c>
      <c r="O252" s="13">
        <f>IF(AND(Sum!$F457="Yes",Sum!$G457="Fees",Sum!P$397=O$5),Sum!P457,0)</f>
        <v>0</v>
      </c>
      <c r="P252" s="13">
        <f>IF(AND(Sum!$F457="Yes",Sum!$G457="Fees",Sum!Q$397=P$5),Sum!Q457,0)</f>
        <v>0</v>
      </c>
      <c r="Q252" s="264" t="str">
        <f>IF(AND(Sum!$F457="Yes",Sum!$G457="Fees"),Sum!$E457,"")</f>
        <v/>
      </c>
    </row>
    <row r="253" spans="1:17" ht="12.75" customHeight="1" x14ac:dyDescent="0.25">
      <c r="A253" s="18"/>
      <c r="B253" s="306" t="str">
        <f>IF(AND(Sum!$F458="Yes",Sum!$G458="Fees"),Sum!$B458,"")</f>
        <v/>
      </c>
      <c r="C253" s="13"/>
      <c r="D253" s="13"/>
      <c r="E253" s="13"/>
      <c r="F253" s="13"/>
      <c r="G253" s="153">
        <f>IF(AND(Sum!$F458="Yes",Sum!$G458="Fees",Sum!H$397=G$5),Sum!H458,0)</f>
        <v>0</v>
      </c>
      <c r="H253" s="13">
        <f>IF(AND(Sum!$F458="Yes",Sum!$G458="Fees",Sum!I$397=H$5),Sum!I458,0)</f>
        <v>0</v>
      </c>
      <c r="I253" s="13">
        <f>IF(AND(Sum!$F458="Yes",Sum!$G458="Fees",Sum!J$397=I$5),Sum!J458,0)</f>
        <v>0</v>
      </c>
      <c r="J253" s="13">
        <f>IF(AND(Sum!$F458="Yes",Sum!$G458="Fees",Sum!K$397=J$5),Sum!K458,0)</f>
        <v>0</v>
      </c>
      <c r="K253" s="13">
        <f>IF(AND(Sum!$F458="Yes",Sum!$G458="Fees",Sum!L$397=K$5),Sum!L458,0)</f>
        <v>0</v>
      </c>
      <c r="L253" s="13">
        <f>IF(AND(Sum!$F458="Yes",Sum!$G458="Fees",Sum!M$397=L$5),Sum!M458,0)</f>
        <v>0</v>
      </c>
      <c r="M253" s="13">
        <f>IF(AND(Sum!$F458="Yes",Sum!$G458="Fees",Sum!N$397=M$5),Sum!N458,0)</f>
        <v>0</v>
      </c>
      <c r="N253" s="13">
        <f>IF(AND(Sum!$F458="Yes",Sum!$G458="Fees",Sum!O$397=N$5),Sum!O458,0)</f>
        <v>0</v>
      </c>
      <c r="O253" s="13">
        <f>IF(AND(Sum!$F458="Yes",Sum!$G458="Fees",Sum!P$397=O$5),Sum!P458,0)</f>
        <v>0</v>
      </c>
      <c r="P253" s="13">
        <f>IF(AND(Sum!$F458="Yes",Sum!$G458="Fees",Sum!Q$397=P$5),Sum!Q458,0)</f>
        <v>0</v>
      </c>
      <c r="Q253" s="264" t="str">
        <f>IF(AND(Sum!$F458="Yes",Sum!$G458="Fees"),Sum!$E458,"")</f>
        <v/>
      </c>
    </row>
    <row r="254" spans="1:17" ht="12.75" customHeight="1" x14ac:dyDescent="0.25">
      <c r="A254" s="18"/>
      <c r="B254" s="306" t="str">
        <f>IF(AND(Sum!$F459="Yes",Sum!$G459="Fees"),Sum!$B459,"")</f>
        <v/>
      </c>
      <c r="C254" s="13"/>
      <c r="D254" s="13"/>
      <c r="E254" s="13"/>
      <c r="F254" s="13"/>
      <c r="G254" s="153">
        <f>IF(AND(Sum!$F459="Yes",Sum!$G459="Fees",Sum!H$397=G$5),Sum!H459,0)</f>
        <v>0</v>
      </c>
      <c r="H254" s="13">
        <f>IF(AND(Sum!$F459="Yes",Sum!$G459="Fees",Sum!I$397=H$5),Sum!I459,0)</f>
        <v>0</v>
      </c>
      <c r="I254" s="13">
        <f>IF(AND(Sum!$F459="Yes",Sum!$G459="Fees",Sum!J$397=I$5),Sum!J459,0)</f>
        <v>0</v>
      </c>
      <c r="J254" s="13">
        <f>IF(AND(Sum!$F459="Yes",Sum!$G459="Fees",Sum!K$397=J$5),Sum!K459,0)</f>
        <v>0</v>
      </c>
      <c r="K254" s="13">
        <f>IF(AND(Sum!$F459="Yes",Sum!$G459="Fees",Sum!L$397=K$5),Sum!L459,0)</f>
        <v>0</v>
      </c>
      <c r="L254" s="13">
        <f>IF(AND(Sum!$F459="Yes",Sum!$G459="Fees",Sum!M$397=L$5),Sum!M459,0)</f>
        <v>0</v>
      </c>
      <c r="M254" s="13">
        <f>IF(AND(Sum!$F459="Yes",Sum!$G459="Fees",Sum!N$397=M$5),Sum!N459,0)</f>
        <v>0</v>
      </c>
      <c r="N254" s="13">
        <f>IF(AND(Sum!$F459="Yes",Sum!$G459="Fees",Sum!O$397=N$5),Sum!O459,0)</f>
        <v>0</v>
      </c>
      <c r="O254" s="13">
        <f>IF(AND(Sum!$F459="Yes",Sum!$G459="Fees",Sum!P$397=O$5),Sum!P459,0)</f>
        <v>0</v>
      </c>
      <c r="P254" s="13">
        <f>IF(AND(Sum!$F459="Yes",Sum!$G459="Fees",Sum!Q$397=P$5),Sum!Q459,0)</f>
        <v>0</v>
      </c>
      <c r="Q254" s="264" t="str">
        <f>IF(AND(Sum!$F459="Yes",Sum!$G459="Fees"),Sum!$E459,"")</f>
        <v/>
      </c>
    </row>
    <row r="255" spans="1:17" ht="12.75" customHeight="1" x14ac:dyDescent="0.25">
      <c r="A255" s="18"/>
      <c r="B255" s="306" t="str">
        <f>IF(AND(Sum!$F460="Yes",Sum!$G460="Fees"),Sum!$B460,"")</f>
        <v/>
      </c>
      <c r="C255" s="13"/>
      <c r="D255" s="13"/>
      <c r="E255" s="13"/>
      <c r="F255" s="13"/>
      <c r="G255" s="153">
        <f>IF(AND(Sum!$F460="Yes",Sum!$G460="Fees",Sum!H$397=G$5),Sum!H460,0)</f>
        <v>0</v>
      </c>
      <c r="H255" s="13">
        <f>IF(AND(Sum!$F460="Yes",Sum!$G460="Fees",Sum!I$397=H$5),Sum!I460,0)</f>
        <v>0</v>
      </c>
      <c r="I255" s="13">
        <f>IF(AND(Sum!$F460="Yes",Sum!$G460="Fees",Sum!J$397=I$5),Sum!J460,0)</f>
        <v>0</v>
      </c>
      <c r="J255" s="13">
        <f>IF(AND(Sum!$F460="Yes",Sum!$G460="Fees",Sum!K$397=J$5),Sum!K460,0)</f>
        <v>0</v>
      </c>
      <c r="K255" s="13">
        <f>IF(AND(Sum!$F460="Yes",Sum!$G460="Fees",Sum!L$397=K$5),Sum!L460,0)</f>
        <v>0</v>
      </c>
      <c r="L255" s="13">
        <f>IF(AND(Sum!$F460="Yes",Sum!$G460="Fees",Sum!M$397=L$5),Sum!M460,0)</f>
        <v>0</v>
      </c>
      <c r="M255" s="13">
        <f>IF(AND(Sum!$F460="Yes",Sum!$G460="Fees",Sum!N$397=M$5),Sum!N460,0)</f>
        <v>0</v>
      </c>
      <c r="N255" s="13">
        <f>IF(AND(Sum!$F460="Yes",Sum!$G460="Fees",Sum!O$397=N$5),Sum!O460,0)</f>
        <v>0</v>
      </c>
      <c r="O255" s="13">
        <f>IF(AND(Sum!$F460="Yes",Sum!$G460="Fees",Sum!P$397=O$5),Sum!P460,0)</f>
        <v>0</v>
      </c>
      <c r="P255" s="13">
        <f>IF(AND(Sum!$F460="Yes",Sum!$G460="Fees",Sum!Q$397=P$5),Sum!Q460,0)</f>
        <v>0</v>
      </c>
      <c r="Q255" s="264" t="str">
        <f>IF(AND(Sum!$F460="Yes",Sum!$G460="Fees"),Sum!$E460,"")</f>
        <v/>
      </c>
    </row>
    <row r="256" spans="1:17" ht="12.75" customHeight="1" x14ac:dyDescent="0.25">
      <c r="A256" s="18"/>
      <c r="B256" s="306" t="str">
        <f>IF(AND(Sum!$F461="Yes",Sum!$G461="Fees"),Sum!$B461,"")</f>
        <v/>
      </c>
      <c r="C256" s="13"/>
      <c r="D256" s="13"/>
      <c r="E256" s="13"/>
      <c r="F256" s="13"/>
      <c r="G256" s="153">
        <f>IF(AND(Sum!$F461="Yes",Sum!$G461="Fees",Sum!H$397=G$5),Sum!H461,0)</f>
        <v>0</v>
      </c>
      <c r="H256" s="13">
        <f>IF(AND(Sum!$F461="Yes",Sum!$G461="Fees",Sum!I$397=H$5),Sum!I461,0)</f>
        <v>0</v>
      </c>
      <c r="I256" s="13">
        <f>IF(AND(Sum!$F461="Yes",Sum!$G461="Fees",Sum!J$397=I$5),Sum!J461,0)</f>
        <v>0</v>
      </c>
      <c r="J256" s="13">
        <f>IF(AND(Sum!$F461="Yes",Sum!$G461="Fees",Sum!K$397=J$5),Sum!K461,0)</f>
        <v>0</v>
      </c>
      <c r="K256" s="13">
        <f>IF(AND(Sum!$F461="Yes",Sum!$G461="Fees",Sum!L$397=K$5),Sum!L461,0)</f>
        <v>0</v>
      </c>
      <c r="L256" s="13">
        <f>IF(AND(Sum!$F461="Yes",Sum!$G461="Fees",Sum!M$397=L$5),Sum!M461,0)</f>
        <v>0</v>
      </c>
      <c r="M256" s="13">
        <f>IF(AND(Sum!$F461="Yes",Sum!$G461="Fees",Sum!N$397=M$5),Sum!N461,0)</f>
        <v>0</v>
      </c>
      <c r="N256" s="13">
        <f>IF(AND(Sum!$F461="Yes",Sum!$G461="Fees",Sum!O$397=N$5),Sum!O461,0)</f>
        <v>0</v>
      </c>
      <c r="O256" s="13">
        <f>IF(AND(Sum!$F461="Yes",Sum!$G461="Fees",Sum!P$397=O$5),Sum!P461,0)</f>
        <v>0</v>
      </c>
      <c r="P256" s="13">
        <f>IF(AND(Sum!$F461="Yes",Sum!$G461="Fees",Sum!Q$397=P$5),Sum!Q461,0)</f>
        <v>0</v>
      </c>
      <c r="Q256" s="264" t="str">
        <f>IF(AND(Sum!$F461="Yes",Sum!$G461="Fees"),Sum!$E461,"")</f>
        <v/>
      </c>
    </row>
    <row r="257" spans="1:17" ht="12.75" customHeight="1" x14ac:dyDescent="0.25">
      <c r="A257" s="18"/>
      <c r="B257" s="306" t="str">
        <f>IF(AND(Sum!$F462="Yes",Sum!$G462="Fees"),Sum!$B462,"")</f>
        <v/>
      </c>
      <c r="C257" s="13"/>
      <c r="D257" s="13"/>
      <c r="E257" s="13"/>
      <c r="F257" s="13"/>
      <c r="G257" s="153">
        <f>IF(AND(Sum!$F462="Yes",Sum!$G462="Fees",Sum!H$397=G$5),Sum!H462,0)</f>
        <v>0</v>
      </c>
      <c r="H257" s="13">
        <f>IF(AND(Sum!$F462="Yes",Sum!$G462="Fees",Sum!I$397=H$5),Sum!I462,0)</f>
        <v>0</v>
      </c>
      <c r="I257" s="13">
        <f>IF(AND(Sum!$F462="Yes",Sum!$G462="Fees",Sum!J$397=I$5),Sum!J462,0)</f>
        <v>0</v>
      </c>
      <c r="J257" s="13">
        <f>IF(AND(Sum!$F462="Yes",Sum!$G462="Fees",Sum!K$397=J$5),Sum!K462,0)</f>
        <v>0</v>
      </c>
      <c r="K257" s="13">
        <f>IF(AND(Sum!$F462="Yes",Sum!$G462="Fees",Sum!L$397=K$5),Sum!L462,0)</f>
        <v>0</v>
      </c>
      <c r="L257" s="13">
        <f>IF(AND(Sum!$F462="Yes",Sum!$G462="Fees",Sum!M$397=L$5),Sum!M462,0)</f>
        <v>0</v>
      </c>
      <c r="M257" s="13">
        <f>IF(AND(Sum!$F462="Yes",Sum!$G462="Fees",Sum!N$397=M$5),Sum!N462,0)</f>
        <v>0</v>
      </c>
      <c r="N257" s="13">
        <f>IF(AND(Sum!$F462="Yes",Sum!$G462="Fees",Sum!O$397=N$5),Sum!O462,0)</f>
        <v>0</v>
      </c>
      <c r="O257" s="13">
        <f>IF(AND(Sum!$F462="Yes",Sum!$G462="Fees",Sum!P$397=O$5),Sum!P462,0)</f>
        <v>0</v>
      </c>
      <c r="P257" s="13">
        <f>IF(AND(Sum!$F462="Yes",Sum!$G462="Fees",Sum!Q$397=P$5),Sum!Q462,0)</f>
        <v>0</v>
      </c>
      <c r="Q257" s="264" t="str">
        <f>IF(AND(Sum!$F462="Yes",Sum!$G462="Fees"),Sum!$E462,"")</f>
        <v/>
      </c>
    </row>
    <row r="258" spans="1:17" ht="12.75" customHeight="1" x14ac:dyDescent="0.25">
      <c r="A258" s="18"/>
      <c r="B258" s="306" t="str">
        <f>IF(AND(Sum!$F463="Yes",Sum!$G463="Fees"),Sum!$B463,"")</f>
        <v/>
      </c>
      <c r="C258" s="13"/>
      <c r="D258" s="13"/>
      <c r="E258" s="13"/>
      <c r="F258" s="13"/>
      <c r="G258" s="153">
        <f>IF(AND(Sum!$F463="Yes",Sum!$G463="Fees",Sum!H$397=G$5),Sum!H463,0)</f>
        <v>0</v>
      </c>
      <c r="H258" s="13">
        <f>IF(AND(Sum!$F463="Yes",Sum!$G463="Fees",Sum!I$397=H$5),Sum!I463,0)</f>
        <v>0</v>
      </c>
      <c r="I258" s="13">
        <f>IF(AND(Sum!$F463="Yes",Sum!$G463="Fees",Sum!J$397=I$5),Sum!J463,0)</f>
        <v>0</v>
      </c>
      <c r="J258" s="13">
        <f>IF(AND(Sum!$F463="Yes",Sum!$G463="Fees",Sum!K$397=J$5),Sum!K463,0)</f>
        <v>0</v>
      </c>
      <c r="K258" s="13">
        <f>IF(AND(Sum!$F463="Yes",Sum!$G463="Fees",Sum!L$397=K$5),Sum!L463,0)</f>
        <v>0</v>
      </c>
      <c r="L258" s="13">
        <f>IF(AND(Sum!$F463="Yes",Sum!$G463="Fees",Sum!M$397=L$5),Sum!M463,0)</f>
        <v>0</v>
      </c>
      <c r="M258" s="13">
        <f>IF(AND(Sum!$F463="Yes",Sum!$G463="Fees",Sum!N$397=M$5),Sum!N463,0)</f>
        <v>0</v>
      </c>
      <c r="N258" s="13">
        <f>IF(AND(Sum!$F463="Yes",Sum!$G463="Fees",Sum!O$397=N$5),Sum!O463,0)</f>
        <v>0</v>
      </c>
      <c r="O258" s="13">
        <f>IF(AND(Sum!$F463="Yes",Sum!$G463="Fees",Sum!P$397=O$5),Sum!P463,0)</f>
        <v>0</v>
      </c>
      <c r="P258" s="13">
        <f>IF(AND(Sum!$F463="Yes",Sum!$G463="Fees",Sum!Q$397=P$5),Sum!Q463,0)</f>
        <v>0</v>
      </c>
      <c r="Q258" s="264" t="str">
        <f>IF(AND(Sum!$F463="Yes",Sum!$G463="Fees"),Sum!$E463,"")</f>
        <v/>
      </c>
    </row>
    <row r="259" spans="1:17" ht="12.75" customHeight="1" x14ac:dyDescent="0.25">
      <c r="A259" s="18"/>
      <c r="B259" s="306" t="str">
        <f>IF(AND(Sum!$F464="Yes",Sum!$G464="Fees"),Sum!$B464,"")</f>
        <v/>
      </c>
      <c r="C259" s="13"/>
      <c r="D259" s="13"/>
      <c r="E259" s="13"/>
      <c r="F259" s="13"/>
      <c r="G259" s="153">
        <f>IF(AND(Sum!$F464="Yes",Sum!$G464="Fees",Sum!H$397=G$5),Sum!H464,0)</f>
        <v>0</v>
      </c>
      <c r="H259" s="13">
        <f>IF(AND(Sum!$F464="Yes",Sum!$G464="Fees",Sum!I$397=H$5),Sum!I464,0)</f>
        <v>0</v>
      </c>
      <c r="I259" s="13">
        <f>IF(AND(Sum!$F464="Yes",Sum!$G464="Fees",Sum!J$397=I$5),Sum!J464,0)</f>
        <v>0</v>
      </c>
      <c r="J259" s="13">
        <f>IF(AND(Sum!$F464="Yes",Sum!$G464="Fees",Sum!K$397=J$5),Sum!K464,0)</f>
        <v>0</v>
      </c>
      <c r="K259" s="13">
        <f>IF(AND(Sum!$F464="Yes",Sum!$G464="Fees",Sum!L$397=K$5),Sum!L464,0)</f>
        <v>0</v>
      </c>
      <c r="L259" s="13">
        <f>IF(AND(Sum!$F464="Yes",Sum!$G464="Fees",Sum!M$397=L$5),Sum!M464,0)</f>
        <v>0</v>
      </c>
      <c r="M259" s="13">
        <f>IF(AND(Sum!$F464="Yes",Sum!$G464="Fees",Sum!N$397=M$5),Sum!N464,0)</f>
        <v>0</v>
      </c>
      <c r="N259" s="13">
        <f>IF(AND(Sum!$F464="Yes",Sum!$G464="Fees",Sum!O$397=N$5),Sum!O464,0)</f>
        <v>0</v>
      </c>
      <c r="O259" s="13">
        <f>IF(AND(Sum!$F464="Yes",Sum!$G464="Fees",Sum!P$397=O$5),Sum!P464,0)</f>
        <v>0</v>
      </c>
      <c r="P259" s="13">
        <f>IF(AND(Sum!$F464="Yes",Sum!$G464="Fees",Sum!Q$397=P$5),Sum!Q464,0)</f>
        <v>0</v>
      </c>
      <c r="Q259" s="264" t="str">
        <f>IF(AND(Sum!$F464="Yes",Sum!$G464="Fees"),Sum!$E464,"")</f>
        <v/>
      </c>
    </row>
    <row r="260" spans="1:17" ht="12.75" customHeight="1" x14ac:dyDescent="0.25">
      <c r="A260" s="18"/>
      <c r="B260" s="306" t="str">
        <f>IF(AND(Sum!$F465="Yes",Sum!$G465="Fees"),Sum!$B465,"")</f>
        <v/>
      </c>
      <c r="C260" s="13"/>
      <c r="D260" s="13"/>
      <c r="E260" s="13"/>
      <c r="F260" s="13"/>
      <c r="G260" s="153">
        <f>IF(AND(Sum!$F465="Yes",Sum!$G465="Fees",Sum!H$397=G$5),Sum!H465,0)</f>
        <v>0</v>
      </c>
      <c r="H260" s="13">
        <f>IF(AND(Sum!$F465="Yes",Sum!$G465="Fees",Sum!I$397=H$5),Sum!I465,0)</f>
        <v>0</v>
      </c>
      <c r="I260" s="13">
        <f>IF(AND(Sum!$F465="Yes",Sum!$G465="Fees",Sum!J$397=I$5),Sum!J465,0)</f>
        <v>0</v>
      </c>
      <c r="J260" s="13">
        <f>IF(AND(Sum!$F465="Yes",Sum!$G465="Fees",Sum!K$397=J$5),Sum!K465,0)</f>
        <v>0</v>
      </c>
      <c r="K260" s="13">
        <f>IF(AND(Sum!$F465="Yes",Sum!$G465="Fees",Sum!L$397=K$5),Sum!L465,0)</f>
        <v>0</v>
      </c>
      <c r="L260" s="13">
        <f>IF(AND(Sum!$F465="Yes",Sum!$G465="Fees",Sum!M$397=L$5),Sum!M465,0)</f>
        <v>0</v>
      </c>
      <c r="M260" s="13">
        <f>IF(AND(Sum!$F465="Yes",Sum!$G465="Fees",Sum!N$397=M$5),Sum!N465,0)</f>
        <v>0</v>
      </c>
      <c r="N260" s="13">
        <f>IF(AND(Sum!$F465="Yes",Sum!$G465="Fees",Sum!O$397=N$5),Sum!O465,0)</f>
        <v>0</v>
      </c>
      <c r="O260" s="13">
        <f>IF(AND(Sum!$F465="Yes",Sum!$G465="Fees",Sum!P$397=O$5),Sum!P465,0)</f>
        <v>0</v>
      </c>
      <c r="P260" s="13">
        <f>IF(AND(Sum!$F465="Yes",Sum!$G465="Fees",Sum!Q$397=P$5),Sum!Q465,0)</f>
        <v>0</v>
      </c>
      <c r="Q260" s="264" t="str">
        <f>IF(AND(Sum!$F465="Yes",Sum!$G465="Fees"),Sum!$E465,"")</f>
        <v/>
      </c>
    </row>
    <row r="261" spans="1:17" ht="12.75" customHeight="1" x14ac:dyDescent="0.25">
      <c r="A261" s="18"/>
      <c r="B261" s="306" t="str">
        <f>IF(AND(Sum!$F466="Yes",Sum!$G466="Fees"),Sum!$B466,"")</f>
        <v/>
      </c>
      <c r="C261" s="13"/>
      <c r="D261" s="13"/>
      <c r="E261" s="13"/>
      <c r="F261" s="13"/>
      <c r="G261" s="153">
        <f>IF(AND(Sum!$F466="Yes",Sum!$G466="Fees",Sum!H$397=G$5),Sum!H466,0)</f>
        <v>0</v>
      </c>
      <c r="H261" s="13">
        <f>IF(AND(Sum!$F466="Yes",Sum!$G466="Fees",Sum!I$397=H$5),Sum!I466,0)</f>
        <v>0</v>
      </c>
      <c r="I261" s="13">
        <f>IF(AND(Sum!$F466="Yes",Sum!$G466="Fees",Sum!J$397=I$5),Sum!J466,0)</f>
        <v>0</v>
      </c>
      <c r="J261" s="13">
        <f>IF(AND(Sum!$F466="Yes",Sum!$G466="Fees",Sum!K$397=J$5),Sum!K466,0)</f>
        <v>0</v>
      </c>
      <c r="K261" s="13">
        <f>IF(AND(Sum!$F466="Yes",Sum!$G466="Fees",Sum!L$397=K$5),Sum!L466,0)</f>
        <v>0</v>
      </c>
      <c r="L261" s="13">
        <f>IF(AND(Sum!$F466="Yes",Sum!$G466="Fees",Sum!M$397=L$5),Sum!M466,0)</f>
        <v>0</v>
      </c>
      <c r="M261" s="13">
        <f>IF(AND(Sum!$F466="Yes",Sum!$G466="Fees",Sum!N$397=M$5),Sum!N466,0)</f>
        <v>0</v>
      </c>
      <c r="N261" s="13">
        <f>IF(AND(Sum!$F466="Yes",Sum!$G466="Fees",Sum!O$397=N$5),Sum!O466,0)</f>
        <v>0</v>
      </c>
      <c r="O261" s="13">
        <f>IF(AND(Sum!$F466="Yes",Sum!$G466="Fees",Sum!P$397=O$5),Sum!P466,0)</f>
        <v>0</v>
      </c>
      <c r="P261" s="13">
        <f>IF(AND(Sum!$F466="Yes",Sum!$G466="Fees",Sum!Q$397=P$5),Sum!Q466,0)</f>
        <v>0</v>
      </c>
      <c r="Q261" s="264" t="str">
        <f>IF(AND(Sum!$F466="Yes",Sum!$G466="Fees"),Sum!$E466,"")</f>
        <v/>
      </c>
    </row>
    <row r="262" spans="1:17" ht="12.75" customHeight="1" x14ac:dyDescent="0.25">
      <c r="A262" s="18"/>
      <c r="B262" s="306" t="str">
        <f>IF(AND(Sum!$F467="Yes",Sum!$G467="Fees"),Sum!$B467,"")</f>
        <v/>
      </c>
      <c r="C262" s="13"/>
      <c r="D262" s="13"/>
      <c r="E262" s="13"/>
      <c r="F262" s="13"/>
      <c r="G262" s="153">
        <f>IF(AND(Sum!$F467="Yes",Sum!$G467="Fees",Sum!H$397=G$5),Sum!H467,0)</f>
        <v>0</v>
      </c>
      <c r="H262" s="13">
        <f>IF(AND(Sum!$F467="Yes",Sum!$G467="Fees",Sum!I$397=H$5),Sum!I467,0)</f>
        <v>0</v>
      </c>
      <c r="I262" s="13">
        <f>IF(AND(Sum!$F467="Yes",Sum!$G467="Fees",Sum!J$397=I$5),Sum!J467,0)</f>
        <v>0</v>
      </c>
      <c r="J262" s="13">
        <f>IF(AND(Sum!$F467="Yes",Sum!$G467="Fees",Sum!K$397=J$5),Sum!K467,0)</f>
        <v>0</v>
      </c>
      <c r="K262" s="13">
        <f>IF(AND(Sum!$F467="Yes",Sum!$G467="Fees",Sum!L$397=K$5),Sum!L467,0)</f>
        <v>0</v>
      </c>
      <c r="L262" s="13">
        <f>IF(AND(Sum!$F467="Yes",Sum!$G467="Fees",Sum!M$397=L$5),Sum!M467,0)</f>
        <v>0</v>
      </c>
      <c r="M262" s="13">
        <f>IF(AND(Sum!$F467="Yes",Sum!$G467="Fees",Sum!N$397=M$5),Sum!N467,0)</f>
        <v>0</v>
      </c>
      <c r="N262" s="13">
        <f>IF(AND(Sum!$F467="Yes",Sum!$G467="Fees",Sum!O$397=N$5),Sum!O467,0)</f>
        <v>0</v>
      </c>
      <c r="O262" s="13">
        <f>IF(AND(Sum!$F467="Yes",Sum!$G467="Fees",Sum!P$397=O$5),Sum!P467,0)</f>
        <v>0</v>
      </c>
      <c r="P262" s="13">
        <f>IF(AND(Sum!$F467="Yes",Sum!$G467="Fees",Sum!Q$397=P$5),Sum!Q467,0)</f>
        <v>0</v>
      </c>
      <c r="Q262" s="264" t="str">
        <f>IF(AND(Sum!$F467="Yes",Sum!$G467="Fees"),Sum!$E467,"")</f>
        <v/>
      </c>
    </row>
    <row r="263" spans="1:17" ht="12.75" customHeight="1" x14ac:dyDescent="0.25">
      <c r="A263" s="18"/>
      <c r="B263" s="306" t="str">
        <f>IF(AND(Sum!$F468="Yes",Sum!$G468="Fees"),Sum!$B468,"")</f>
        <v/>
      </c>
      <c r="C263" s="13"/>
      <c r="D263" s="13"/>
      <c r="E263" s="13"/>
      <c r="F263" s="13"/>
      <c r="G263" s="153">
        <f>IF(AND(Sum!$F468="Yes",Sum!$G468="Fees",Sum!H$397=G$5),Sum!H468,0)</f>
        <v>0</v>
      </c>
      <c r="H263" s="13">
        <f>IF(AND(Sum!$F468="Yes",Sum!$G468="Fees",Sum!I$397=H$5),Sum!I468,0)</f>
        <v>0</v>
      </c>
      <c r="I263" s="13">
        <f>IF(AND(Sum!$F468="Yes",Sum!$G468="Fees",Sum!J$397=I$5),Sum!J468,0)</f>
        <v>0</v>
      </c>
      <c r="J263" s="13">
        <f>IF(AND(Sum!$F468="Yes",Sum!$G468="Fees",Sum!K$397=J$5),Sum!K468,0)</f>
        <v>0</v>
      </c>
      <c r="K263" s="13">
        <f>IF(AND(Sum!$F468="Yes",Sum!$G468="Fees",Sum!L$397=K$5),Sum!L468,0)</f>
        <v>0</v>
      </c>
      <c r="L263" s="13">
        <f>IF(AND(Sum!$F468="Yes",Sum!$G468="Fees",Sum!M$397=L$5),Sum!M468,0)</f>
        <v>0</v>
      </c>
      <c r="M263" s="13">
        <f>IF(AND(Sum!$F468="Yes",Sum!$G468="Fees",Sum!N$397=M$5),Sum!N468,0)</f>
        <v>0</v>
      </c>
      <c r="N263" s="13">
        <f>IF(AND(Sum!$F468="Yes",Sum!$G468="Fees",Sum!O$397=N$5),Sum!O468,0)</f>
        <v>0</v>
      </c>
      <c r="O263" s="13">
        <f>IF(AND(Sum!$F468="Yes",Sum!$G468="Fees",Sum!P$397=O$5),Sum!P468,0)</f>
        <v>0</v>
      </c>
      <c r="P263" s="13">
        <f>IF(AND(Sum!$F468="Yes",Sum!$G468="Fees",Sum!Q$397=P$5),Sum!Q468,0)</f>
        <v>0</v>
      </c>
      <c r="Q263" s="264" t="str">
        <f>IF(AND(Sum!$F468="Yes",Sum!$G468="Fees"),Sum!$E468,"")</f>
        <v/>
      </c>
    </row>
    <row r="264" spans="1:17" ht="12.75" customHeight="1" x14ac:dyDescent="0.25">
      <c r="A264" s="18"/>
      <c r="B264" s="306" t="str">
        <f>IF(AND(Sum!$F469="Yes",Sum!$G469="Fees"),Sum!$B469,"")</f>
        <v/>
      </c>
      <c r="C264" s="13"/>
      <c r="D264" s="13"/>
      <c r="E264" s="13"/>
      <c r="F264" s="13"/>
      <c r="G264" s="153">
        <f>IF(AND(Sum!$F469="Yes",Sum!$G469="Fees",Sum!H$397=G$5),Sum!H469,0)</f>
        <v>0</v>
      </c>
      <c r="H264" s="13">
        <f>IF(AND(Sum!$F469="Yes",Sum!$G469="Fees",Sum!I$397=H$5),Sum!I469,0)</f>
        <v>0</v>
      </c>
      <c r="I264" s="13">
        <f>IF(AND(Sum!$F469="Yes",Sum!$G469="Fees",Sum!J$397=I$5),Sum!J469,0)</f>
        <v>0</v>
      </c>
      <c r="J264" s="13">
        <f>IF(AND(Sum!$F469="Yes",Sum!$G469="Fees",Sum!K$397=J$5),Sum!K469,0)</f>
        <v>0</v>
      </c>
      <c r="K264" s="13">
        <f>IF(AND(Sum!$F469="Yes",Sum!$G469="Fees",Sum!L$397=K$5),Sum!L469,0)</f>
        <v>0</v>
      </c>
      <c r="L264" s="13">
        <f>IF(AND(Sum!$F469="Yes",Sum!$G469="Fees",Sum!M$397=L$5),Sum!M469,0)</f>
        <v>0</v>
      </c>
      <c r="M264" s="13">
        <f>IF(AND(Sum!$F469="Yes",Sum!$G469="Fees",Sum!N$397=M$5),Sum!N469,0)</f>
        <v>0</v>
      </c>
      <c r="N264" s="13">
        <f>IF(AND(Sum!$F469="Yes",Sum!$G469="Fees",Sum!O$397=N$5),Sum!O469,0)</f>
        <v>0</v>
      </c>
      <c r="O264" s="13">
        <f>IF(AND(Sum!$F469="Yes",Sum!$G469="Fees",Sum!P$397=O$5),Sum!P469,0)</f>
        <v>0</v>
      </c>
      <c r="P264" s="13">
        <f>IF(AND(Sum!$F469="Yes",Sum!$G469="Fees",Sum!Q$397=P$5),Sum!Q469,0)</f>
        <v>0</v>
      </c>
      <c r="Q264" s="264" t="str">
        <f>IF(AND(Sum!$F469="Yes",Sum!$G469="Fees"),Sum!$E469,"")</f>
        <v/>
      </c>
    </row>
    <row r="265" spans="1:17" ht="12.75" customHeight="1" x14ac:dyDescent="0.25">
      <c r="A265" s="18"/>
      <c r="B265" s="306" t="str">
        <f>IF(AND(Sum!$F470="Yes",Sum!$G470="Fees"),Sum!$B470,"")</f>
        <v/>
      </c>
      <c r="C265" s="13"/>
      <c r="D265" s="13"/>
      <c r="E265" s="13"/>
      <c r="F265" s="13"/>
      <c r="G265" s="153">
        <f>IF(AND(Sum!$F470="Yes",Sum!$G470="Fees",Sum!H$397=G$5),Sum!H470,0)</f>
        <v>0</v>
      </c>
      <c r="H265" s="13">
        <f>IF(AND(Sum!$F470="Yes",Sum!$G470="Fees",Sum!I$397=H$5),Sum!I470,0)</f>
        <v>0</v>
      </c>
      <c r="I265" s="13">
        <f>IF(AND(Sum!$F470="Yes",Sum!$G470="Fees",Sum!J$397=I$5),Sum!J470,0)</f>
        <v>0</v>
      </c>
      <c r="J265" s="13">
        <f>IF(AND(Sum!$F470="Yes",Sum!$G470="Fees",Sum!K$397=J$5),Sum!K470,0)</f>
        <v>0</v>
      </c>
      <c r="K265" s="13">
        <f>IF(AND(Sum!$F470="Yes",Sum!$G470="Fees",Sum!L$397=K$5),Sum!L470,0)</f>
        <v>0</v>
      </c>
      <c r="L265" s="13">
        <f>IF(AND(Sum!$F470="Yes",Sum!$G470="Fees",Sum!M$397=L$5),Sum!M470,0)</f>
        <v>0</v>
      </c>
      <c r="M265" s="13">
        <f>IF(AND(Sum!$F470="Yes",Sum!$G470="Fees",Sum!N$397=M$5),Sum!N470,0)</f>
        <v>0</v>
      </c>
      <c r="N265" s="13">
        <f>IF(AND(Sum!$F470="Yes",Sum!$G470="Fees",Sum!O$397=N$5),Sum!O470,0)</f>
        <v>0</v>
      </c>
      <c r="O265" s="13">
        <f>IF(AND(Sum!$F470="Yes",Sum!$G470="Fees",Sum!P$397=O$5),Sum!P470,0)</f>
        <v>0</v>
      </c>
      <c r="P265" s="13">
        <f>IF(AND(Sum!$F470="Yes",Sum!$G470="Fees",Sum!Q$397=P$5),Sum!Q470,0)</f>
        <v>0</v>
      </c>
      <c r="Q265" s="264" t="str">
        <f>IF(AND(Sum!$F470="Yes",Sum!$G470="Fees"),Sum!$E470,"")</f>
        <v/>
      </c>
    </row>
    <row r="266" spans="1:17" ht="12.75" customHeight="1" x14ac:dyDescent="0.25">
      <c r="A266" s="18"/>
      <c r="B266" s="306" t="str">
        <f>IF(AND(Sum!$F471="Yes",Sum!$G471="Fees"),Sum!$B471,"")</f>
        <v/>
      </c>
      <c r="C266" s="13"/>
      <c r="D266" s="13"/>
      <c r="E266" s="13"/>
      <c r="F266" s="13"/>
      <c r="G266" s="153">
        <f>IF(AND(Sum!$F471="Yes",Sum!$G471="Fees",Sum!H$397=G$5),Sum!H471,0)</f>
        <v>0</v>
      </c>
      <c r="H266" s="13">
        <f>IF(AND(Sum!$F471="Yes",Sum!$G471="Fees",Sum!I$397=H$5),Sum!I471,0)</f>
        <v>0</v>
      </c>
      <c r="I266" s="13">
        <f>IF(AND(Sum!$F471="Yes",Sum!$G471="Fees",Sum!J$397=I$5),Sum!J471,0)</f>
        <v>0</v>
      </c>
      <c r="J266" s="13">
        <f>IF(AND(Sum!$F471="Yes",Sum!$G471="Fees",Sum!K$397=J$5),Sum!K471,0)</f>
        <v>0</v>
      </c>
      <c r="K266" s="13">
        <f>IF(AND(Sum!$F471="Yes",Sum!$G471="Fees",Sum!L$397=K$5),Sum!L471,0)</f>
        <v>0</v>
      </c>
      <c r="L266" s="13">
        <f>IF(AND(Sum!$F471="Yes",Sum!$G471="Fees",Sum!M$397=L$5),Sum!M471,0)</f>
        <v>0</v>
      </c>
      <c r="M266" s="13">
        <f>IF(AND(Sum!$F471="Yes",Sum!$G471="Fees",Sum!N$397=M$5),Sum!N471,0)</f>
        <v>0</v>
      </c>
      <c r="N266" s="13">
        <f>IF(AND(Sum!$F471="Yes",Sum!$G471="Fees",Sum!O$397=N$5),Sum!O471,0)</f>
        <v>0</v>
      </c>
      <c r="O266" s="13">
        <f>IF(AND(Sum!$F471="Yes",Sum!$G471="Fees",Sum!P$397=O$5),Sum!P471,0)</f>
        <v>0</v>
      </c>
      <c r="P266" s="13">
        <f>IF(AND(Sum!$F471="Yes",Sum!$G471="Fees",Sum!Q$397=P$5),Sum!Q471,0)</f>
        <v>0</v>
      </c>
      <c r="Q266" s="264" t="str">
        <f>IF(AND(Sum!$F471="Yes",Sum!$G471="Fees"),Sum!$E471,"")</f>
        <v/>
      </c>
    </row>
    <row r="267" spans="1:17" ht="12.75" customHeight="1" x14ac:dyDescent="0.25">
      <c r="A267" s="18"/>
      <c r="B267" s="306" t="str">
        <f>IF(AND(Sum!$F472="Yes",Sum!$G472="Fees"),Sum!$B472,"")</f>
        <v/>
      </c>
      <c r="C267" s="13"/>
      <c r="D267" s="13"/>
      <c r="E267" s="13"/>
      <c r="F267" s="13"/>
      <c r="G267" s="153">
        <f>IF(AND(Sum!$F472="Yes",Sum!$G472="Fees",Sum!H$397=G$5),Sum!H472,0)</f>
        <v>0</v>
      </c>
      <c r="H267" s="13">
        <f>IF(AND(Sum!$F472="Yes",Sum!$G472="Fees",Sum!I$397=H$5),Sum!I472,0)</f>
        <v>0</v>
      </c>
      <c r="I267" s="13">
        <f>IF(AND(Sum!$F472="Yes",Sum!$G472="Fees",Sum!J$397=I$5),Sum!J472,0)</f>
        <v>0</v>
      </c>
      <c r="J267" s="13">
        <f>IF(AND(Sum!$F472="Yes",Sum!$G472="Fees",Sum!K$397=J$5),Sum!K472,0)</f>
        <v>0</v>
      </c>
      <c r="K267" s="13">
        <f>IF(AND(Sum!$F472="Yes",Sum!$G472="Fees",Sum!L$397=K$5),Sum!L472,0)</f>
        <v>0</v>
      </c>
      <c r="L267" s="13">
        <f>IF(AND(Sum!$F472="Yes",Sum!$G472="Fees",Sum!M$397=L$5),Sum!M472,0)</f>
        <v>0</v>
      </c>
      <c r="M267" s="13">
        <f>IF(AND(Sum!$F472="Yes",Sum!$G472="Fees",Sum!N$397=M$5),Sum!N472,0)</f>
        <v>0</v>
      </c>
      <c r="N267" s="13">
        <f>IF(AND(Sum!$F472="Yes",Sum!$G472="Fees",Sum!O$397=N$5),Sum!O472,0)</f>
        <v>0</v>
      </c>
      <c r="O267" s="13">
        <f>IF(AND(Sum!$F472="Yes",Sum!$G472="Fees",Sum!P$397=O$5),Sum!P472,0)</f>
        <v>0</v>
      </c>
      <c r="P267" s="13">
        <f>IF(AND(Sum!$F472="Yes",Sum!$G472="Fees",Sum!Q$397=P$5),Sum!Q472,0)</f>
        <v>0</v>
      </c>
      <c r="Q267" s="264" t="str">
        <f>IF(AND(Sum!$F472="Yes",Sum!$G472="Fees"),Sum!$E472,"")</f>
        <v/>
      </c>
    </row>
    <row r="268" spans="1:17" ht="12.75" customHeight="1" x14ac:dyDescent="0.25">
      <c r="A268" s="18"/>
      <c r="B268" s="306" t="str">
        <f>IF(AND(Sum!$F473="Yes",Sum!$G473="Fees"),Sum!$B473,"")</f>
        <v/>
      </c>
      <c r="C268" s="13"/>
      <c r="D268" s="13"/>
      <c r="E268" s="13"/>
      <c r="F268" s="13"/>
      <c r="G268" s="153">
        <f>IF(AND(Sum!$F473="Yes",Sum!$G473="Fees",Sum!H$397=G$5),Sum!H473,0)</f>
        <v>0</v>
      </c>
      <c r="H268" s="13">
        <f>IF(AND(Sum!$F473="Yes",Sum!$G473="Fees",Sum!I$397=H$5),Sum!I473,0)</f>
        <v>0</v>
      </c>
      <c r="I268" s="13">
        <f>IF(AND(Sum!$F473="Yes",Sum!$G473="Fees",Sum!J$397=I$5),Sum!J473,0)</f>
        <v>0</v>
      </c>
      <c r="J268" s="13">
        <f>IF(AND(Sum!$F473="Yes",Sum!$G473="Fees",Sum!K$397=J$5),Sum!K473,0)</f>
        <v>0</v>
      </c>
      <c r="K268" s="13">
        <f>IF(AND(Sum!$F473="Yes",Sum!$G473="Fees",Sum!L$397=K$5),Sum!L473,0)</f>
        <v>0</v>
      </c>
      <c r="L268" s="13">
        <f>IF(AND(Sum!$F473="Yes",Sum!$G473="Fees",Sum!M$397=L$5),Sum!M473,0)</f>
        <v>0</v>
      </c>
      <c r="M268" s="13">
        <f>IF(AND(Sum!$F473="Yes",Sum!$G473="Fees",Sum!N$397=M$5),Sum!N473,0)</f>
        <v>0</v>
      </c>
      <c r="N268" s="13">
        <f>IF(AND(Sum!$F473="Yes",Sum!$G473="Fees",Sum!O$397=N$5),Sum!O473,0)</f>
        <v>0</v>
      </c>
      <c r="O268" s="13">
        <f>IF(AND(Sum!$F473="Yes",Sum!$G473="Fees",Sum!P$397=O$5),Sum!P473,0)</f>
        <v>0</v>
      </c>
      <c r="P268" s="13">
        <f>IF(AND(Sum!$F473="Yes",Sum!$G473="Fees",Sum!Q$397=P$5),Sum!Q473,0)</f>
        <v>0</v>
      </c>
      <c r="Q268" s="264" t="str">
        <f>IF(AND(Sum!$F473="Yes",Sum!$G473="Fees"),Sum!$E473,"")</f>
        <v/>
      </c>
    </row>
    <row r="269" spans="1:17" ht="12.75" customHeight="1" x14ac:dyDescent="0.25">
      <c r="A269" s="18"/>
      <c r="B269" s="306" t="str">
        <f>IF(AND(Sum!$F474="Yes",Sum!$G474="Fees"),Sum!$B474,"")</f>
        <v/>
      </c>
      <c r="C269" s="13"/>
      <c r="D269" s="13"/>
      <c r="E269" s="13"/>
      <c r="F269" s="13"/>
      <c r="G269" s="153">
        <f>IF(AND(Sum!$F474="Yes",Sum!$G474="Fees",Sum!H$397=G$5),Sum!H474,0)</f>
        <v>0</v>
      </c>
      <c r="H269" s="13">
        <f>IF(AND(Sum!$F474="Yes",Sum!$G474="Fees",Sum!I$397=H$5),Sum!I474,0)</f>
        <v>0</v>
      </c>
      <c r="I269" s="13">
        <f>IF(AND(Sum!$F474="Yes",Sum!$G474="Fees",Sum!J$397=I$5),Sum!J474,0)</f>
        <v>0</v>
      </c>
      <c r="J269" s="13">
        <f>IF(AND(Sum!$F474="Yes",Sum!$G474="Fees",Sum!K$397=J$5),Sum!K474,0)</f>
        <v>0</v>
      </c>
      <c r="K269" s="13">
        <f>IF(AND(Sum!$F474="Yes",Sum!$G474="Fees",Sum!L$397=K$5),Sum!L474,0)</f>
        <v>0</v>
      </c>
      <c r="L269" s="13">
        <f>IF(AND(Sum!$F474="Yes",Sum!$G474="Fees",Sum!M$397=L$5),Sum!M474,0)</f>
        <v>0</v>
      </c>
      <c r="M269" s="13">
        <f>IF(AND(Sum!$F474="Yes",Sum!$G474="Fees",Sum!N$397=M$5),Sum!N474,0)</f>
        <v>0</v>
      </c>
      <c r="N269" s="13">
        <f>IF(AND(Sum!$F474="Yes",Sum!$G474="Fees",Sum!O$397=N$5),Sum!O474,0)</f>
        <v>0</v>
      </c>
      <c r="O269" s="13">
        <f>IF(AND(Sum!$F474="Yes",Sum!$G474="Fees",Sum!P$397=O$5),Sum!P474,0)</f>
        <v>0</v>
      </c>
      <c r="P269" s="13">
        <f>IF(AND(Sum!$F474="Yes",Sum!$G474="Fees",Sum!Q$397=P$5),Sum!Q474,0)</f>
        <v>0</v>
      </c>
      <c r="Q269" s="264" t="str">
        <f>IF(AND(Sum!$F474="Yes",Sum!$G474="Fees"),Sum!$E474,"")</f>
        <v/>
      </c>
    </row>
    <row r="270" spans="1:17" ht="12.75" customHeight="1" x14ac:dyDescent="0.25">
      <c r="A270" s="18"/>
      <c r="B270" s="306" t="str">
        <f>IF(AND(Sum!$F475="Yes",Sum!$G475="Fees"),Sum!$B475,"")</f>
        <v/>
      </c>
      <c r="C270" s="13"/>
      <c r="D270" s="13"/>
      <c r="E270" s="13"/>
      <c r="F270" s="13"/>
      <c r="G270" s="153">
        <f>IF(AND(Sum!$F475="Yes",Sum!$G475="Fees",Sum!H$397=G$5),Sum!H475,0)</f>
        <v>0</v>
      </c>
      <c r="H270" s="13">
        <f>IF(AND(Sum!$F475="Yes",Sum!$G475="Fees",Sum!I$397=H$5),Sum!I475,0)</f>
        <v>0</v>
      </c>
      <c r="I270" s="13">
        <f>IF(AND(Sum!$F475="Yes",Sum!$G475="Fees",Sum!J$397=I$5),Sum!J475,0)</f>
        <v>0</v>
      </c>
      <c r="J270" s="13">
        <f>IF(AND(Sum!$F475="Yes",Sum!$G475="Fees",Sum!K$397=J$5),Sum!K475,0)</f>
        <v>0</v>
      </c>
      <c r="K270" s="13">
        <f>IF(AND(Sum!$F475="Yes",Sum!$G475="Fees",Sum!L$397=K$5),Sum!L475,0)</f>
        <v>0</v>
      </c>
      <c r="L270" s="13">
        <f>IF(AND(Sum!$F475="Yes",Sum!$G475="Fees",Sum!M$397=L$5),Sum!M475,0)</f>
        <v>0</v>
      </c>
      <c r="M270" s="13">
        <f>IF(AND(Sum!$F475="Yes",Sum!$G475="Fees",Sum!N$397=M$5),Sum!N475,0)</f>
        <v>0</v>
      </c>
      <c r="N270" s="13">
        <f>IF(AND(Sum!$F475="Yes",Sum!$G475="Fees",Sum!O$397=N$5),Sum!O475,0)</f>
        <v>0</v>
      </c>
      <c r="O270" s="13">
        <f>IF(AND(Sum!$F475="Yes",Sum!$G475="Fees",Sum!P$397=O$5),Sum!P475,0)</f>
        <v>0</v>
      </c>
      <c r="P270" s="13">
        <f>IF(AND(Sum!$F475="Yes",Sum!$G475="Fees",Sum!Q$397=P$5),Sum!Q475,0)</f>
        <v>0</v>
      </c>
      <c r="Q270" s="264" t="str">
        <f>IF(AND(Sum!$F475="Yes",Sum!$G475="Fees"),Sum!$E475,"")</f>
        <v/>
      </c>
    </row>
    <row r="271" spans="1:17" ht="12.75" customHeight="1" x14ac:dyDescent="0.25">
      <c r="A271" s="18"/>
      <c r="B271" s="306" t="str">
        <f>IF(AND(Sum!$F476="Yes",Sum!$G476="Fees"),Sum!$B476,"")</f>
        <v/>
      </c>
      <c r="C271" s="13"/>
      <c r="D271" s="13"/>
      <c r="E271" s="13"/>
      <c r="F271" s="13"/>
      <c r="G271" s="153">
        <f>IF(AND(Sum!$F476="Yes",Sum!$G476="Fees",Sum!H$397=G$5),Sum!H476,0)</f>
        <v>0</v>
      </c>
      <c r="H271" s="13">
        <f>IF(AND(Sum!$F476="Yes",Sum!$G476="Fees",Sum!I$397=H$5),Sum!I476,0)</f>
        <v>0</v>
      </c>
      <c r="I271" s="13">
        <f>IF(AND(Sum!$F476="Yes",Sum!$G476="Fees",Sum!J$397=I$5),Sum!J476,0)</f>
        <v>0</v>
      </c>
      <c r="J271" s="13">
        <f>IF(AND(Sum!$F476="Yes",Sum!$G476="Fees",Sum!K$397=J$5),Sum!K476,0)</f>
        <v>0</v>
      </c>
      <c r="K271" s="13">
        <f>IF(AND(Sum!$F476="Yes",Sum!$G476="Fees",Sum!L$397=K$5),Sum!L476,0)</f>
        <v>0</v>
      </c>
      <c r="L271" s="13">
        <f>IF(AND(Sum!$F476="Yes",Sum!$G476="Fees",Sum!M$397=L$5),Sum!M476,0)</f>
        <v>0</v>
      </c>
      <c r="M271" s="13">
        <f>IF(AND(Sum!$F476="Yes",Sum!$G476="Fees",Sum!N$397=M$5),Sum!N476,0)</f>
        <v>0</v>
      </c>
      <c r="N271" s="13">
        <f>IF(AND(Sum!$F476="Yes",Sum!$G476="Fees",Sum!O$397=N$5),Sum!O476,0)</f>
        <v>0</v>
      </c>
      <c r="O271" s="13">
        <f>IF(AND(Sum!$F476="Yes",Sum!$G476="Fees",Sum!P$397=O$5),Sum!P476,0)</f>
        <v>0</v>
      </c>
      <c r="P271" s="13">
        <f>IF(AND(Sum!$F476="Yes",Sum!$G476="Fees",Sum!Q$397=P$5),Sum!Q476,0)</f>
        <v>0</v>
      </c>
      <c r="Q271" s="264" t="str">
        <f>IF(AND(Sum!$F476="Yes",Sum!$G476="Fees"),Sum!$E476,"")</f>
        <v/>
      </c>
    </row>
    <row r="272" spans="1:17" ht="12.75" customHeight="1" x14ac:dyDescent="0.25">
      <c r="A272" s="18"/>
      <c r="B272" s="306" t="str">
        <f>IF(AND(Sum!$F477="Yes",Sum!$G477="Fees"),Sum!$B477,"")</f>
        <v/>
      </c>
      <c r="C272" s="13"/>
      <c r="D272" s="13"/>
      <c r="E272" s="13"/>
      <c r="F272" s="13"/>
      <c r="G272" s="153">
        <f>IF(AND(Sum!$F477="Yes",Sum!$G477="Fees",Sum!H$397=G$5),Sum!H477,0)</f>
        <v>0</v>
      </c>
      <c r="H272" s="13">
        <f>IF(AND(Sum!$F477="Yes",Sum!$G477="Fees",Sum!I$397=H$5),Sum!I477,0)</f>
        <v>0</v>
      </c>
      <c r="I272" s="13">
        <f>IF(AND(Sum!$F477="Yes",Sum!$G477="Fees",Sum!J$397=I$5),Sum!J477,0)</f>
        <v>0</v>
      </c>
      <c r="J272" s="13">
        <f>IF(AND(Sum!$F477="Yes",Sum!$G477="Fees",Sum!K$397=J$5),Sum!K477,0)</f>
        <v>0</v>
      </c>
      <c r="K272" s="13">
        <f>IF(AND(Sum!$F477="Yes",Sum!$G477="Fees",Sum!L$397=K$5),Sum!L477,0)</f>
        <v>0</v>
      </c>
      <c r="L272" s="13">
        <f>IF(AND(Sum!$F477="Yes",Sum!$G477="Fees",Sum!M$397=L$5),Sum!M477,0)</f>
        <v>0</v>
      </c>
      <c r="M272" s="13">
        <f>IF(AND(Sum!$F477="Yes",Sum!$G477="Fees",Sum!N$397=M$5),Sum!N477,0)</f>
        <v>0</v>
      </c>
      <c r="N272" s="13">
        <f>IF(AND(Sum!$F477="Yes",Sum!$G477="Fees",Sum!O$397=N$5),Sum!O477,0)</f>
        <v>0</v>
      </c>
      <c r="O272" s="13">
        <f>IF(AND(Sum!$F477="Yes",Sum!$G477="Fees",Sum!P$397=O$5),Sum!P477,0)</f>
        <v>0</v>
      </c>
      <c r="P272" s="13">
        <f>IF(AND(Sum!$F477="Yes",Sum!$G477="Fees",Sum!Q$397=P$5),Sum!Q477,0)</f>
        <v>0</v>
      </c>
      <c r="Q272" s="264" t="str">
        <f>IF(AND(Sum!$F477="Yes",Sum!$G477="Fees"),Sum!$E477,"")</f>
        <v/>
      </c>
    </row>
    <row r="273" spans="1:17" ht="12.75" customHeight="1" x14ac:dyDescent="0.25">
      <c r="A273" s="18"/>
      <c r="B273" s="306" t="str">
        <f>IF(AND(Sum!$F478="Yes",Sum!$G478="Fees"),Sum!$B478,"")</f>
        <v/>
      </c>
      <c r="C273" s="13"/>
      <c r="D273" s="13"/>
      <c r="E273" s="13"/>
      <c r="F273" s="13"/>
      <c r="G273" s="153">
        <f>IF(AND(Sum!$F478="Yes",Sum!$G478="Fees",Sum!H$397=G$5),Sum!H478,0)</f>
        <v>0</v>
      </c>
      <c r="H273" s="13">
        <f>IF(AND(Sum!$F478="Yes",Sum!$G478="Fees",Sum!I$397=H$5),Sum!I478,0)</f>
        <v>0</v>
      </c>
      <c r="I273" s="13">
        <f>IF(AND(Sum!$F478="Yes",Sum!$G478="Fees",Sum!J$397=I$5),Sum!J478,0)</f>
        <v>0</v>
      </c>
      <c r="J273" s="13">
        <f>IF(AND(Sum!$F478="Yes",Sum!$G478="Fees",Sum!K$397=J$5),Sum!K478,0)</f>
        <v>0</v>
      </c>
      <c r="K273" s="13">
        <f>IF(AND(Sum!$F478="Yes",Sum!$G478="Fees",Sum!L$397=K$5),Sum!L478,0)</f>
        <v>0</v>
      </c>
      <c r="L273" s="13">
        <f>IF(AND(Sum!$F478="Yes",Sum!$G478="Fees",Sum!M$397=L$5),Sum!M478,0)</f>
        <v>0</v>
      </c>
      <c r="M273" s="13">
        <f>IF(AND(Sum!$F478="Yes",Sum!$G478="Fees",Sum!N$397=M$5),Sum!N478,0)</f>
        <v>0</v>
      </c>
      <c r="N273" s="13">
        <f>IF(AND(Sum!$F478="Yes",Sum!$G478="Fees",Sum!O$397=N$5),Sum!O478,0)</f>
        <v>0</v>
      </c>
      <c r="O273" s="13">
        <f>IF(AND(Sum!$F478="Yes",Sum!$G478="Fees",Sum!P$397=O$5),Sum!P478,0)</f>
        <v>0</v>
      </c>
      <c r="P273" s="13">
        <f>IF(AND(Sum!$F478="Yes",Sum!$G478="Fees",Sum!Q$397=P$5),Sum!Q478,0)</f>
        <v>0</v>
      </c>
      <c r="Q273" s="264" t="str">
        <f>IF(AND(Sum!$F478="Yes",Sum!$G478="Fees"),Sum!$E478,"")</f>
        <v/>
      </c>
    </row>
    <row r="274" spans="1:17" ht="12.75" customHeight="1" x14ac:dyDescent="0.25">
      <c r="A274" s="18"/>
      <c r="B274" s="306" t="str">
        <f>IF(AND(Sum!$F479="Yes",Sum!$G479="Fees"),Sum!$B479,"")</f>
        <v/>
      </c>
      <c r="C274" s="13"/>
      <c r="D274" s="13"/>
      <c r="E274" s="13"/>
      <c r="F274" s="13"/>
      <c r="G274" s="153">
        <f>IF(AND(Sum!$F479="Yes",Sum!$G479="Fees",Sum!H$397=G$5),Sum!H479,0)</f>
        <v>0</v>
      </c>
      <c r="H274" s="13">
        <f>IF(AND(Sum!$F479="Yes",Sum!$G479="Fees",Sum!I$397=H$5),Sum!I479,0)</f>
        <v>0</v>
      </c>
      <c r="I274" s="13">
        <f>IF(AND(Sum!$F479="Yes",Sum!$G479="Fees",Sum!J$397=I$5),Sum!J479,0)</f>
        <v>0</v>
      </c>
      <c r="J274" s="13">
        <f>IF(AND(Sum!$F479="Yes",Sum!$G479="Fees",Sum!K$397=J$5),Sum!K479,0)</f>
        <v>0</v>
      </c>
      <c r="K274" s="13">
        <f>IF(AND(Sum!$F479="Yes",Sum!$G479="Fees",Sum!L$397=K$5),Sum!L479,0)</f>
        <v>0</v>
      </c>
      <c r="L274" s="13">
        <f>IF(AND(Sum!$F479="Yes",Sum!$G479="Fees",Sum!M$397=L$5),Sum!M479,0)</f>
        <v>0</v>
      </c>
      <c r="M274" s="13">
        <f>IF(AND(Sum!$F479="Yes",Sum!$G479="Fees",Sum!N$397=M$5),Sum!N479,0)</f>
        <v>0</v>
      </c>
      <c r="N274" s="13">
        <f>IF(AND(Sum!$F479="Yes",Sum!$G479="Fees",Sum!O$397=N$5),Sum!O479,0)</f>
        <v>0</v>
      </c>
      <c r="O274" s="13">
        <f>IF(AND(Sum!$F479="Yes",Sum!$G479="Fees",Sum!P$397=O$5),Sum!P479,0)</f>
        <v>0</v>
      </c>
      <c r="P274" s="13">
        <f>IF(AND(Sum!$F479="Yes",Sum!$G479="Fees",Sum!Q$397=P$5),Sum!Q479,0)</f>
        <v>0</v>
      </c>
      <c r="Q274" s="264" t="str">
        <f>IF(AND(Sum!$F479="Yes",Sum!$G479="Fees"),Sum!$E479,"")</f>
        <v/>
      </c>
    </row>
    <row r="275" spans="1:17" ht="12.75" customHeight="1" x14ac:dyDescent="0.25">
      <c r="A275" s="18"/>
      <c r="B275" s="306" t="str">
        <f>IF(AND(Sum!$F480="Yes",Sum!$G480="Fees"),Sum!$B480,"")</f>
        <v/>
      </c>
      <c r="C275" s="13"/>
      <c r="D275" s="13"/>
      <c r="E275" s="13"/>
      <c r="F275" s="13"/>
      <c r="G275" s="153">
        <f>IF(AND(Sum!$F480="Yes",Sum!$G480="Fees",Sum!H$397=G$5),Sum!H480,0)</f>
        <v>0</v>
      </c>
      <c r="H275" s="13">
        <f>IF(AND(Sum!$F480="Yes",Sum!$G480="Fees",Sum!I$397=H$5),Sum!I480,0)</f>
        <v>0</v>
      </c>
      <c r="I275" s="13">
        <f>IF(AND(Sum!$F480="Yes",Sum!$G480="Fees",Sum!J$397=I$5),Sum!J480,0)</f>
        <v>0</v>
      </c>
      <c r="J275" s="13">
        <f>IF(AND(Sum!$F480="Yes",Sum!$G480="Fees",Sum!K$397=J$5),Sum!K480,0)</f>
        <v>0</v>
      </c>
      <c r="K275" s="13">
        <f>IF(AND(Sum!$F480="Yes",Sum!$G480="Fees",Sum!L$397=K$5),Sum!L480,0)</f>
        <v>0</v>
      </c>
      <c r="L275" s="13">
        <f>IF(AND(Sum!$F480="Yes",Sum!$G480="Fees",Sum!M$397=L$5),Sum!M480,0)</f>
        <v>0</v>
      </c>
      <c r="M275" s="13">
        <f>IF(AND(Sum!$F480="Yes",Sum!$G480="Fees",Sum!N$397=M$5),Sum!N480,0)</f>
        <v>0</v>
      </c>
      <c r="N275" s="13">
        <f>IF(AND(Sum!$F480="Yes",Sum!$G480="Fees",Sum!O$397=N$5),Sum!O480,0)</f>
        <v>0</v>
      </c>
      <c r="O275" s="13">
        <f>IF(AND(Sum!$F480="Yes",Sum!$G480="Fees",Sum!P$397=O$5),Sum!P480,0)</f>
        <v>0</v>
      </c>
      <c r="P275" s="13">
        <f>IF(AND(Sum!$F480="Yes",Sum!$G480="Fees",Sum!Q$397=P$5),Sum!Q480,0)</f>
        <v>0</v>
      </c>
      <c r="Q275" s="264" t="str">
        <f>IF(AND(Sum!$F480="Yes",Sum!$G480="Fees"),Sum!$E480,"")</f>
        <v/>
      </c>
    </row>
    <row r="276" spans="1:17" ht="12.75" customHeight="1" x14ac:dyDescent="0.25">
      <c r="A276" s="18"/>
      <c r="B276" s="306" t="str">
        <f>IF(AND(Sum!$F481="Yes",Sum!$G481="Fees"),Sum!$B481,"")</f>
        <v/>
      </c>
      <c r="C276" s="13"/>
      <c r="D276" s="13"/>
      <c r="E276" s="13"/>
      <c r="F276" s="13"/>
      <c r="G276" s="153">
        <f>IF(AND(Sum!$F481="Yes",Sum!$G481="Fees",Sum!H$397=G$5),Sum!H481,0)</f>
        <v>0</v>
      </c>
      <c r="H276" s="13">
        <f>IF(AND(Sum!$F481="Yes",Sum!$G481="Fees",Sum!I$397=H$5),Sum!I481,0)</f>
        <v>0</v>
      </c>
      <c r="I276" s="13">
        <f>IF(AND(Sum!$F481="Yes",Sum!$G481="Fees",Sum!J$397=I$5),Sum!J481,0)</f>
        <v>0</v>
      </c>
      <c r="J276" s="13">
        <f>IF(AND(Sum!$F481="Yes",Sum!$G481="Fees",Sum!K$397=J$5),Sum!K481,0)</f>
        <v>0</v>
      </c>
      <c r="K276" s="13">
        <f>IF(AND(Sum!$F481="Yes",Sum!$G481="Fees",Sum!L$397=K$5),Sum!L481,0)</f>
        <v>0</v>
      </c>
      <c r="L276" s="13">
        <f>IF(AND(Sum!$F481="Yes",Sum!$G481="Fees",Sum!M$397=L$5),Sum!M481,0)</f>
        <v>0</v>
      </c>
      <c r="M276" s="13">
        <f>IF(AND(Sum!$F481="Yes",Sum!$G481="Fees",Sum!N$397=M$5),Sum!N481,0)</f>
        <v>0</v>
      </c>
      <c r="N276" s="13">
        <f>IF(AND(Sum!$F481="Yes",Sum!$G481="Fees",Sum!O$397=N$5),Sum!O481,0)</f>
        <v>0</v>
      </c>
      <c r="O276" s="13">
        <f>IF(AND(Sum!$F481="Yes",Sum!$G481="Fees",Sum!P$397=O$5),Sum!P481,0)</f>
        <v>0</v>
      </c>
      <c r="P276" s="13">
        <f>IF(AND(Sum!$F481="Yes",Sum!$G481="Fees",Sum!Q$397=P$5),Sum!Q481,0)</f>
        <v>0</v>
      </c>
      <c r="Q276" s="264" t="str">
        <f>IF(AND(Sum!$F481="Yes",Sum!$G481="Fees"),Sum!$E481,"")</f>
        <v/>
      </c>
    </row>
    <row r="277" spans="1:17" ht="12.75" customHeight="1" x14ac:dyDescent="0.25">
      <c r="A277" s="18"/>
      <c r="B277" s="306" t="str">
        <f>IF(AND(Sum!$F482="Yes",Sum!$G482="Fees"),Sum!$B482,"")</f>
        <v/>
      </c>
      <c r="C277" s="13"/>
      <c r="D277" s="13"/>
      <c r="E277" s="13"/>
      <c r="F277" s="13"/>
      <c r="G277" s="153">
        <f>IF(AND(Sum!$F482="Yes",Sum!$G482="Fees",Sum!H$397=G$5),Sum!H482,0)</f>
        <v>0</v>
      </c>
      <c r="H277" s="13">
        <f>IF(AND(Sum!$F482="Yes",Sum!$G482="Fees",Sum!I$397=H$5),Sum!I482,0)</f>
        <v>0</v>
      </c>
      <c r="I277" s="13">
        <f>IF(AND(Sum!$F482="Yes",Sum!$G482="Fees",Sum!J$397=I$5),Sum!J482,0)</f>
        <v>0</v>
      </c>
      <c r="J277" s="13">
        <f>IF(AND(Sum!$F482="Yes",Sum!$G482="Fees",Sum!K$397=J$5),Sum!K482,0)</f>
        <v>0</v>
      </c>
      <c r="K277" s="13">
        <f>IF(AND(Sum!$F482="Yes",Sum!$G482="Fees",Sum!L$397=K$5),Sum!L482,0)</f>
        <v>0</v>
      </c>
      <c r="L277" s="13">
        <f>IF(AND(Sum!$F482="Yes",Sum!$G482="Fees",Sum!M$397=L$5),Sum!M482,0)</f>
        <v>0</v>
      </c>
      <c r="M277" s="13">
        <f>IF(AND(Sum!$F482="Yes",Sum!$G482="Fees",Sum!N$397=M$5),Sum!N482,0)</f>
        <v>0</v>
      </c>
      <c r="N277" s="13">
        <f>IF(AND(Sum!$F482="Yes",Sum!$G482="Fees",Sum!O$397=N$5),Sum!O482,0)</f>
        <v>0</v>
      </c>
      <c r="O277" s="13">
        <f>IF(AND(Sum!$F482="Yes",Sum!$G482="Fees",Sum!P$397=O$5),Sum!P482,0)</f>
        <v>0</v>
      </c>
      <c r="P277" s="13">
        <f>IF(AND(Sum!$F482="Yes",Sum!$G482="Fees",Sum!Q$397=P$5),Sum!Q482,0)</f>
        <v>0</v>
      </c>
      <c r="Q277" s="264" t="str">
        <f>IF(AND(Sum!$F482="Yes",Sum!$G482="Fees"),Sum!$E482,"")</f>
        <v/>
      </c>
    </row>
    <row r="278" spans="1:17" ht="12.75" customHeight="1" x14ac:dyDescent="0.25">
      <c r="A278" s="18"/>
      <c r="B278" s="306" t="str">
        <f>IF(AND(Sum!$F483="Yes",Sum!$G483="Fees"),Sum!$B483,"")</f>
        <v/>
      </c>
      <c r="C278" s="13"/>
      <c r="D278" s="13"/>
      <c r="E278" s="13"/>
      <c r="F278" s="13"/>
      <c r="G278" s="153">
        <f>IF(AND(Sum!$F483="Yes",Sum!$G483="Fees",Sum!H$397=G$5),Sum!H483,0)</f>
        <v>0</v>
      </c>
      <c r="H278" s="13">
        <f>IF(AND(Sum!$F483="Yes",Sum!$G483="Fees",Sum!I$397=H$5),Sum!I483,0)</f>
        <v>0</v>
      </c>
      <c r="I278" s="13">
        <f>IF(AND(Sum!$F483="Yes",Sum!$G483="Fees",Sum!J$397=I$5),Sum!J483,0)</f>
        <v>0</v>
      </c>
      <c r="J278" s="13">
        <f>IF(AND(Sum!$F483="Yes",Sum!$G483="Fees",Sum!K$397=J$5),Sum!K483,0)</f>
        <v>0</v>
      </c>
      <c r="K278" s="13">
        <f>IF(AND(Sum!$F483="Yes",Sum!$G483="Fees",Sum!L$397=K$5),Sum!L483,0)</f>
        <v>0</v>
      </c>
      <c r="L278" s="13">
        <f>IF(AND(Sum!$F483="Yes",Sum!$G483="Fees",Sum!M$397=L$5),Sum!M483,0)</f>
        <v>0</v>
      </c>
      <c r="M278" s="13">
        <f>IF(AND(Sum!$F483="Yes",Sum!$G483="Fees",Sum!N$397=M$5),Sum!N483,0)</f>
        <v>0</v>
      </c>
      <c r="N278" s="13">
        <f>IF(AND(Sum!$F483="Yes",Sum!$G483="Fees",Sum!O$397=N$5),Sum!O483,0)</f>
        <v>0</v>
      </c>
      <c r="O278" s="13">
        <f>IF(AND(Sum!$F483="Yes",Sum!$G483="Fees",Sum!P$397=O$5),Sum!P483,0)</f>
        <v>0</v>
      </c>
      <c r="P278" s="13">
        <f>IF(AND(Sum!$F483="Yes",Sum!$G483="Fees",Sum!Q$397=P$5),Sum!Q483,0)</f>
        <v>0</v>
      </c>
      <c r="Q278" s="264" t="str">
        <f>IF(AND(Sum!$F483="Yes",Sum!$G483="Fees"),Sum!$E483,"")</f>
        <v/>
      </c>
    </row>
    <row r="279" spans="1:17" ht="12.75" customHeight="1" x14ac:dyDescent="0.25">
      <c r="A279" s="18"/>
      <c r="B279" s="306" t="str">
        <f>IF(AND(Sum!$F484="Yes",Sum!$G484="Fees"),Sum!$B484,"")</f>
        <v/>
      </c>
      <c r="C279" s="13"/>
      <c r="D279" s="13"/>
      <c r="E279" s="13"/>
      <c r="F279" s="13"/>
      <c r="G279" s="153">
        <f>IF(AND(Sum!$F484="Yes",Sum!$G484="Fees",Sum!H$397=G$5),Sum!H484,0)</f>
        <v>0</v>
      </c>
      <c r="H279" s="13">
        <f>IF(AND(Sum!$F484="Yes",Sum!$G484="Fees",Sum!I$397=H$5),Sum!I484,0)</f>
        <v>0</v>
      </c>
      <c r="I279" s="13">
        <f>IF(AND(Sum!$F484="Yes",Sum!$G484="Fees",Sum!J$397=I$5),Sum!J484,0)</f>
        <v>0</v>
      </c>
      <c r="J279" s="13">
        <f>IF(AND(Sum!$F484="Yes",Sum!$G484="Fees",Sum!K$397=J$5),Sum!K484,0)</f>
        <v>0</v>
      </c>
      <c r="K279" s="13">
        <f>IF(AND(Sum!$F484="Yes",Sum!$G484="Fees",Sum!L$397=K$5),Sum!L484,0)</f>
        <v>0</v>
      </c>
      <c r="L279" s="13">
        <f>IF(AND(Sum!$F484="Yes",Sum!$G484="Fees",Sum!M$397=L$5),Sum!M484,0)</f>
        <v>0</v>
      </c>
      <c r="M279" s="13">
        <f>IF(AND(Sum!$F484="Yes",Sum!$G484="Fees",Sum!N$397=M$5),Sum!N484,0)</f>
        <v>0</v>
      </c>
      <c r="N279" s="13">
        <f>IF(AND(Sum!$F484="Yes",Sum!$G484="Fees",Sum!O$397=N$5),Sum!O484,0)</f>
        <v>0</v>
      </c>
      <c r="O279" s="13">
        <f>IF(AND(Sum!$F484="Yes",Sum!$G484="Fees",Sum!P$397=O$5),Sum!P484,0)</f>
        <v>0</v>
      </c>
      <c r="P279" s="13">
        <f>IF(AND(Sum!$F484="Yes",Sum!$G484="Fees",Sum!Q$397=P$5),Sum!Q484,0)</f>
        <v>0</v>
      </c>
      <c r="Q279" s="264" t="str">
        <f>IF(AND(Sum!$F484="Yes",Sum!$G484="Fees"),Sum!$E484,"")</f>
        <v/>
      </c>
    </row>
    <row r="280" spans="1:17" ht="12.75" customHeight="1" x14ac:dyDescent="0.25">
      <c r="A280" s="18"/>
      <c r="B280" s="306" t="str">
        <f>IF(AND(Sum!$F485="Yes",Sum!$G485="Fees"),Sum!$B485,"")</f>
        <v/>
      </c>
      <c r="C280" s="13"/>
      <c r="D280" s="13"/>
      <c r="E280" s="13"/>
      <c r="F280" s="13"/>
      <c r="G280" s="153">
        <f>IF(AND(Sum!$F485="Yes",Sum!$G485="Fees",Sum!H$397=G$5),Sum!H485,0)</f>
        <v>0</v>
      </c>
      <c r="H280" s="13">
        <f>IF(AND(Sum!$F485="Yes",Sum!$G485="Fees",Sum!I$397=H$5),Sum!I485,0)</f>
        <v>0</v>
      </c>
      <c r="I280" s="13">
        <f>IF(AND(Sum!$F485="Yes",Sum!$G485="Fees",Sum!J$397=I$5),Sum!J485,0)</f>
        <v>0</v>
      </c>
      <c r="J280" s="13">
        <f>IF(AND(Sum!$F485="Yes",Sum!$G485="Fees",Sum!K$397=J$5),Sum!K485,0)</f>
        <v>0</v>
      </c>
      <c r="K280" s="13">
        <f>IF(AND(Sum!$F485="Yes",Sum!$G485="Fees",Sum!L$397=K$5),Sum!L485,0)</f>
        <v>0</v>
      </c>
      <c r="L280" s="13">
        <f>IF(AND(Sum!$F485="Yes",Sum!$G485="Fees",Sum!M$397=L$5),Sum!M485,0)</f>
        <v>0</v>
      </c>
      <c r="M280" s="13">
        <f>IF(AND(Sum!$F485="Yes",Sum!$G485="Fees",Sum!N$397=M$5),Sum!N485,0)</f>
        <v>0</v>
      </c>
      <c r="N280" s="13">
        <f>IF(AND(Sum!$F485="Yes",Sum!$G485="Fees",Sum!O$397=N$5),Sum!O485,0)</f>
        <v>0</v>
      </c>
      <c r="O280" s="13">
        <f>IF(AND(Sum!$F485="Yes",Sum!$G485="Fees",Sum!P$397=O$5),Sum!P485,0)</f>
        <v>0</v>
      </c>
      <c r="P280" s="13">
        <f>IF(AND(Sum!$F485="Yes",Sum!$G485="Fees",Sum!Q$397=P$5),Sum!Q485,0)</f>
        <v>0</v>
      </c>
      <c r="Q280" s="264" t="str">
        <f>IF(AND(Sum!$F485="Yes",Sum!$G485="Fees"),Sum!$E485,"")</f>
        <v/>
      </c>
    </row>
    <row r="281" spans="1:17" ht="12.75" customHeight="1" x14ac:dyDescent="0.25">
      <c r="A281" s="18"/>
      <c r="B281" s="306" t="str">
        <f>IF(AND(Sum!$F486="Yes",Sum!$G486="Fees"),Sum!$B486,"")</f>
        <v/>
      </c>
      <c r="C281" s="13"/>
      <c r="D281" s="13"/>
      <c r="E281" s="13"/>
      <c r="F281" s="13"/>
      <c r="G281" s="153">
        <f>IF(AND(Sum!$F486="Yes",Sum!$G486="Fees",Sum!H$397=G$5),Sum!H486,0)</f>
        <v>0</v>
      </c>
      <c r="H281" s="13">
        <f>IF(AND(Sum!$F486="Yes",Sum!$G486="Fees",Sum!I$397=H$5),Sum!I486,0)</f>
        <v>0</v>
      </c>
      <c r="I281" s="13">
        <f>IF(AND(Sum!$F486="Yes",Sum!$G486="Fees",Sum!J$397=I$5),Sum!J486,0)</f>
        <v>0</v>
      </c>
      <c r="J281" s="13">
        <f>IF(AND(Sum!$F486="Yes",Sum!$G486="Fees",Sum!K$397=J$5),Sum!K486,0)</f>
        <v>0</v>
      </c>
      <c r="K281" s="13">
        <f>IF(AND(Sum!$F486="Yes",Sum!$G486="Fees",Sum!L$397=K$5),Sum!L486,0)</f>
        <v>0</v>
      </c>
      <c r="L281" s="13">
        <f>IF(AND(Sum!$F486="Yes",Sum!$G486="Fees",Sum!M$397=L$5),Sum!M486,0)</f>
        <v>0</v>
      </c>
      <c r="M281" s="13">
        <f>IF(AND(Sum!$F486="Yes",Sum!$G486="Fees",Sum!N$397=M$5),Sum!N486,0)</f>
        <v>0</v>
      </c>
      <c r="N281" s="13">
        <f>IF(AND(Sum!$F486="Yes",Sum!$G486="Fees",Sum!O$397=N$5),Sum!O486,0)</f>
        <v>0</v>
      </c>
      <c r="O281" s="13">
        <f>IF(AND(Sum!$F486="Yes",Sum!$G486="Fees",Sum!P$397=O$5),Sum!P486,0)</f>
        <v>0</v>
      </c>
      <c r="P281" s="13">
        <f>IF(AND(Sum!$F486="Yes",Sum!$G486="Fees",Sum!Q$397=P$5),Sum!Q486,0)</f>
        <v>0</v>
      </c>
      <c r="Q281" s="264" t="str">
        <f>IF(AND(Sum!$F486="Yes",Sum!$G486="Fees"),Sum!$E486,"")</f>
        <v/>
      </c>
    </row>
    <row r="282" spans="1:17" ht="12.75" customHeight="1" x14ac:dyDescent="0.25">
      <c r="A282" s="18"/>
      <c r="B282" s="306" t="str">
        <f>IF(AND(Sum!$F487="Yes",Sum!$G487="Fees"),Sum!$B487,"")</f>
        <v/>
      </c>
      <c r="C282" s="13"/>
      <c r="D282" s="13"/>
      <c r="E282" s="13"/>
      <c r="F282" s="13"/>
      <c r="G282" s="153">
        <f>IF(AND(Sum!$F487="Yes",Sum!$G487="Fees",Sum!H$397=G$5),Sum!H487,0)</f>
        <v>0</v>
      </c>
      <c r="H282" s="13">
        <f>IF(AND(Sum!$F487="Yes",Sum!$G487="Fees",Sum!I$397=H$5),Sum!I487,0)</f>
        <v>0</v>
      </c>
      <c r="I282" s="13">
        <f>IF(AND(Sum!$F487="Yes",Sum!$G487="Fees",Sum!J$397=I$5),Sum!J487,0)</f>
        <v>0</v>
      </c>
      <c r="J282" s="13">
        <f>IF(AND(Sum!$F487="Yes",Sum!$G487="Fees",Sum!K$397=J$5),Sum!K487,0)</f>
        <v>0</v>
      </c>
      <c r="K282" s="13">
        <f>IF(AND(Sum!$F487="Yes",Sum!$G487="Fees",Sum!L$397=K$5),Sum!L487,0)</f>
        <v>0</v>
      </c>
      <c r="L282" s="13">
        <f>IF(AND(Sum!$F487="Yes",Sum!$G487="Fees",Sum!M$397=L$5),Sum!M487,0)</f>
        <v>0</v>
      </c>
      <c r="M282" s="13">
        <f>IF(AND(Sum!$F487="Yes",Sum!$G487="Fees",Sum!N$397=M$5),Sum!N487,0)</f>
        <v>0</v>
      </c>
      <c r="N282" s="13">
        <f>IF(AND(Sum!$F487="Yes",Sum!$G487="Fees",Sum!O$397=N$5),Sum!O487,0)</f>
        <v>0</v>
      </c>
      <c r="O282" s="13">
        <f>IF(AND(Sum!$F487="Yes",Sum!$G487="Fees",Sum!P$397=O$5),Sum!P487,0)</f>
        <v>0</v>
      </c>
      <c r="P282" s="13">
        <f>IF(AND(Sum!$F487="Yes",Sum!$G487="Fees",Sum!Q$397=P$5),Sum!Q487,0)</f>
        <v>0</v>
      </c>
      <c r="Q282" s="264" t="str">
        <f>IF(AND(Sum!$F487="Yes",Sum!$G487="Fees"),Sum!$E487,"")</f>
        <v/>
      </c>
    </row>
    <row r="283" spans="1:17" ht="12.75" customHeight="1" x14ac:dyDescent="0.25">
      <c r="A283" s="18"/>
      <c r="B283" s="306" t="str">
        <f>IF(AND(Sum!$F488="Yes",Sum!$G488="Fees"),Sum!$B488,"")</f>
        <v/>
      </c>
      <c r="C283" s="13"/>
      <c r="D283" s="13"/>
      <c r="E283" s="13"/>
      <c r="F283" s="13"/>
      <c r="G283" s="153">
        <f>IF(AND(Sum!$F488="Yes",Sum!$G488="Fees",Sum!H$397=G$5),Sum!H488,0)</f>
        <v>0</v>
      </c>
      <c r="H283" s="13">
        <f>IF(AND(Sum!$F488="Yes",Sum!$G488="Fees",Sum!I$397=H$5),Sum!I488,0)</f>
        <v>0</v>
      </c>
      <c r="I283" s="13">
        <f>IF(AND(Sum!$F488="Yes",Sum!$G488="Fees",Sum!J$397=I$5),Sum!J488,0)</f>
        <v>0</v>
      </c>
      <c r="J283" s="13">
        <f>IF(AND(Sum!$F488="Yes",Sum!$G488="Fees",Sum!K$397=J$5),Sum!K488,0)</f>
        <v>0</v>
      </c>
      <c r="K283" s="13">
        <f>IF(AND(Sum!$F488="Yes",Sum!$G488="Fees",Sum!L$397=K$5),Sum!L488,0)</f>
        <v>0</v>
      </c>
      <c r="L283" s="13">
        <f>IF(AND(Sum!$F488="Yes",Sum!$G488="Fees",Sum!M$397=L$5),Sum!M488,0)</f>
        <v>0</v>
      </c>
      <c r="M283" s="13">
        <f>IF(AND(Sum!$F488="Yes",Sum!$G488="Fees",Sum!N$397=M$5),Sum!N488,0)</f>
        <v>0</v>
      </c>
      <c r="N283" s="13">
        <f>IF(AND(Sum!$F488="Yes",Sum!$G488="Fees",Sum!O$397=N$5),Sum!O488,0)</f>
        <v>0</v>
      </c>
      <c r="O283" s="13">
        <f>IF(AND(Sum!$F488="Yes",Sum!$G488="Fees",Sum!P$397=O$5),Sum!P488,0)</f>
        <v>0</v>
      </c>
      <c r="P283" s="13">
        <f>IF(AND(Sum!$F488="Yes",Sum!$G488="Fees",Sum!Q$397=P$5),Sum!Q488,0)</f>
        <v>0</v>
      </c>
      <c r="Q283" s="264" t="str">
        <f>IF(AND(Sum!$F488="Yes",Sum!$G488="Fees"),Sum!$E488,"")</f>
        <v/>
      </c>
    </row>
    <row r="284" spans="1:17" ht="12.75" customHeight="1" x14ac:dyDescent="0.25">
      <c r="A284" s="18"/>
      <c r="B284" s="306" t="str">
        <f>IF(AND(Sum!$F489="Yes",Sum!$G489="Fees"),Sum!$B489,"")</f>
        <v/>
      </c>
      <c r="C284" s="13"/>
      <c r="D284" s="13"/>
      <c r="E284" s="13"/>
      <c r="F284" s="13"/>
      <c r="G284" s="153">
        <f>IF(AND(Sum!$F489="Yes",Sum!$G489="Fees",Sum!H$397=G$5),Sum!H489,0)</f>
        <v>0</v>
      </c>
      <c r="H284" s="13">
        <f>IF(AND(Sum!$F489="Yes",Sum!$G489="Fees",Sum!I$397=H$5),Sum!I489,0)</f>
        <v>0</v>
      </c>
      <c r="I284" s="13">
        <f>IF(AND(Sum!$F489="Yes",Sum!$G489="Fees",Sum!J$397=I$5),Sum!J489,0)</f>
        <v>0</v>
      </c>
      <c r="J284" s="13">
        <f>IF(AND(Sum!$F489="Yes",Sum!$G489="Fees",Sum!K$397=J$5),Sum!K489,0)</f>
        <v>0</v>
      </c>
      <c r="K284" s="13">
        <f>IF(AND(Sum!$F489="Yes",Sum!$G489="Fees",Sum!L$397=K$5),Sum!L489,0)</f>
        <v>0</v>
      </c>
      <c r="L284" s="13">
        <f>IF(AND(Sum!$F489="Yes",Sum!$G489="Fees",Sum!M$397=L$5),Sum!M489,0)</f>
        <v>0</v>
      </c>
      <c r="M284" s="13">
        <f>IF(AND(Sum!$F489="Yes",Sum!$G489="Fees",Sum!N$397=M$5),Sum!N489,0)</f>
        <v>0</v>
      </c>
      <c r="N284" s="13">
        <f>IF(AND(Sum!$F489="Yes",Sum!$G489="Fees",Sum!O$397=N$5),Sum!O489,0)</f>
        <v>0</v>
      </c>
      <c r="O284" s="13">
        <f>IF(AND(Sum!$F489="Yes",Sum!$G489="Fees",Sum!P$397=O$5),Sum!P489,0)</f>
        <v>0</v>
      </c>
      <c r="P284" s="13">
        <f>IF(AND(Sum!$F489="Yes",Sum!$G489="Fees",Sum!Q$397=P$5),Sum!Q489,0)</f>
        <v>0</v>
      </c>
      <c r="Q284" s="264" t="str">
        <f>IF(AND(Sum!$F489="Yes",Sum!$G489="Fees"),Sum!$E489,"")</f>
        <v/>
      </c>
    </row>
    <row r="285" spans="1:17" ht="12.75" customHeight="1" x14ac:dyDescent="0.25">
      <c r="A285" s="18"/>
      <c r="B285" s="306" t="str">
        <f>IF(AND(Sum!$F490="Yes",Sum!$G490="Fees"),Sum!$B490,"")</f>
        <v/>
      </c>
      <c r="C285" s="13"/>
      <c r="D285" s="13"/>
      <c r="E285" s="13"/>
      <c r="F285" s="13"/>
      <c r="G285" s="153">
        <f>IF(AND(Sum!$F490="Yes",Sum!$G490="Fees",Sum!H$397=G$5),Sum!H490,0)</f>
        <v>0</v>
      </c>
      <c r="H285" s="13">
        <f>IF(AND(Sum!$F490="Yes",Sum!$G490="Fees",Sum!I$397=H$5),Sum!I490,0)</f>
        <v>0</v>
      </c>
      <c r="I285" s="13">
        <f>IF(AND(Sum!$F490="Yes",Sum!$G490="Fees",Sum!J$397=I$5),Sum!J490,0)</f>
        <v>0</v>
      </c>
      <c r="J285" s="13">
        <f>IF(AND(Sum!$F490="Yes",Sum!$G490="Fees",Sum!K$397=J$5),Sum!K490,0)</f>
        <v>0</v>
      </c>
      <c r="K285" s="13">
        <f>IF(AND(Sum!$F490="Yes",Sum!$G490="Fees",Sum!L$397=K$5),Sum!L490,0)</f>
        <v>0</v>
      </c>
      <c r="L285" s="13">
        <f>IF(AND(Sum!$F490="Yes",Sum!$G490="Fees",Sum!M$397=L$5),Sum!M490,0)</f>
        <v>0</v>
      </c>
      <c r="M285" s="13">
        <f>IF(AND(Sum!$F490="Yes",Sum!$G490="Fees",Sum!N$397=M$5),Sum!N490,0)</f>
        <v>0</v>
      </c>
      <c r="N285" s="13">
        <f>IF(AND(Sum!$F490="Yes",Sum!$G490="Fees",Sum!O$397=N$5),Sum!O490,0)</f>
        <v>0</v>
      </c>
      <c r="O285" s="13">
        <f>IF(AND(Sum!$F490="Yes",Sum!$G490="Fees",Sum!P$397=O$5),Sum!P490,0)</f>
        <v>0</v>
      </c>
      <c r="P285" s="13">
        <f>IF(AND(Sum!$F490="Yes",Sum!$G490="Fees",Sum!Q$397=P$5),Sum!Q490,0)</f>
        <v>0</v>
      </c>
      <c r="Q285" s="264" t="str">
        <f>IF(AND(Sum!$F490="Yes",Sum!$G490="Fees"),Sum!$E490,"")</f>
        <v/>
      </c>
    </row>
    <row r="286" spans="1:17" ht="12.75" customHeight="1" x14ac:dyDescent="0.25">
      <c r="A286" s="18"/>
      <c r="B286" s="306" t="str">
        <f>IF(AND(Sum!$F491="Yes",Sum!$G491="Fees"),Sum!$B491,"")</f>
        <v/>
      </c>
      <c r="C286" s="13"/>
      <c r="D286" s="13"/>
      <c r="E286" s="13"/>
      <c r="F286" s="13"/>
      <c r="G286" s="153">
        <f>IF(AND(Sum!$F491="Yes",Sum!$G491="Fees",Sum!H$397=G$5),Sum!H491,0)</f>
        <v>0</v>
      </c>
      <c r="H286" s="13">
        <f>IF(AND(Sum!$F491="Yes",Sum!$G491="Fees",Sum!I$397=H$5),Sum!I491,0)</f>
        <v>0</v>
      </c>
      <c r="I286" s="13">
        <f>IF(AND(Sum!$F491="Yes",Sum!$G491="Fees",Sum!J$397=I$5),Sum!J491,0)</f>
        <v>0</v>
      </c>
      <c r="J286" s="13">
        <f>IF(AND(Sum!$F491="Yes",Sum!$G491="Fees",Sum!K$397=J$5),Sum!K491,0)</f>
        <v>0</v>
      </c>
      <c r="K286" s="13">
        <f>IF(AND(Sum!$F491="Yes",Sum!$G491="Fees",Sum!L$397=K$5),Sum!L491,0)</f>
        <v>0</v>
      </c>
      <c r="L286" s="13">
        <f>IF(AND(Sum!$F491="Yes",Sum!$G491="Fees",Sum!M$397=L$5),Sum!M491,0)</f>
        <v>0</v>
      </c>
      <c r="M286" s="13">
        <f>IF(AND(Sum!$F491="Yes",Sum!$G491="Fees",Sum!N$397=M$5),Sum!N491,0)</f>
        <v>0</v>
      </c>
      <c r="N286" s="13">
        <f>IF(AND(Sum!$F491="Yes",Sum!$G491="Fees",Sum!O$397=N$5),Sum!O491,0)</f>
        <v>0</v>
      </c>
      <c r="O286" s="13">
        <f>IF(AND(Sum!$F491="Yes",Sum!$G491="Fees",Sum!P$397=O$5),Sum!P491,0)</f>
        <v>0</v>
      </c>
      <c r="P286" s="13">
        <f>IF(AND(Sum!$F491="Yes",Sum!$G491="Fees",Sum!Q$397=P$5),Sum!Q491,0)</f>
        <v>0</v>
      </c>
      <c r="Q286" s="264" t="str">
        <f>IF(AND(Sum!$F491="Yes",Sum!$G491="Fees"),Sum!$E491,"")</f>
        <v/>
      </c>
    </row>
    <row r="287" spans="1:17" ht="12.75" customHeight="1" x14ac:dyDescent="0.25">
      <c r="A287" s="18"/>
      <c r="B287" s="306" t="str">
        <f>IF(AND(Sum!$F492="Yes",Sum!$G492="Fees"),Sum!$B492,"")</f>
        <v/>
      </c>
      <c r="C287" s="13"/>
      <c r="D287" s="13"/>
      <c r="E287" s="13"/>
      <c r="F287" s="13"/>
      <c r="G287" s="153">
        <f>IF(AND(Sum!$F492="Yes",Sum!$G492="Fees",Sum!H$397=G$5),Sum!H492,0)</f>
        <v>0</v>
      </c>
      <c r="H287" s="13">
        <f>IF(AND(Sum!$F492="Yes",Sum!$G492="Fees",Sum!I$397=H$5),Sum!I492,0)</f>
        <v>0</v>
      </c>
      <c r="I287" s="13">
        <f>IF(AND(Sum!$F492="Yes",Sum!$G492="Fees",Sum!J$397=I$5),Sum!J492,0)</f>
        <v>0</v>
      </c>
      <c r="J287" s="13">
        <f>IF(AND(Sum!$F492="Yes",Sum!$G492="Fees",Sum!K$397=J$5),Sum!K492,0)</f>
        <v>0</v>
      </c>
      <c r="K287" s="13">
        <f>IF(AND(Sum!$F492="Yes",Sum!$G492="Fees",Sum!L$397=K$5),Sum!L492,0)</f>
        <v>0</v>
      </c>
      <c r="L287" s="13">
        <f>IF(AND(Sum!$F492="Yes",Sum!$G492="Fees",Sum!M$397=L$5),Sum!M492,0)</f>
        <v>0</v>
      </c>
      <c r="M287" s="13">
        <f>IF(AND(Sum!$F492="Yes",Sum!$G492="Fees",Sum!N$397=M$5),Sum!N492,0)</f>
        <v>0</v>
      </c>
      <c r="N287" s="13">
        <f>IF(AND(Sum!$F492="Yes",Sum!$G492="Fees",Sum!O$397=N$5),Sum!O492,0)</f>
        <v>0</v>
      </c>
      <c r="O287" s="13">
        <f>IF(AND(Sum!$F492="Yes",Sum!$G492="Fees",Sum!P$397=O$5),Sum!P492,0)</f>
        <v>0</v>
      </c>
      <c r="P287" s="13">
        <f>IF(AND(Sum!$F492="Yes",Sum!$G492="Fees",Sum!Q$397=P$5),Sum!Q492,0)</f>
        <v>0</v>
      </c>
      <c r="Q287" s="264" t="str">
        <f>IF(AND(Sum!$F492="Yes",Sum!$G492="Fees"),Sum!$E492,"")</f>
        <v/>
      </c>
    </row>
    <row r="288" spans="1:17" ht="12.75" customHeight="1" x14ac:dyDescent="0.25">
      <c r="A288" s="18"/>
      <c r="B288" s="306" t="str">
        <f>IF(AND(Sum!$F493="Yes",Sum!$G493="Fees"),Sum!$B493,"")</f>
        <v/>
      </c>
      <c r="C288" s="13"/>
      <c r="D288" s="13"/>
      <c r="E288" s="13"/>
      <c r="F288" s="13"/>
      <c r="G288" s="153">
        <f>IF(AND(Sum!$F493="Yes",Sum!$G493="Fees",Sum!H$397=G$5),Sum!H493,0)</f>
        <v>0</v>
      </c>
      <c r="H288" s="13">
        <f>IF(AND(Sum!$F493="Yes",Sum!$G493="Fees",Sum!I$397=H$5),Sum!I493,0)</f>
        <v>0</v>
      </c>
      <c r="I288" s="13">
        <f>IF(AND(Sum!$F493="Yes",Sum!$G493="Fees",Sum!J$397=I$5),Sum!J493,0)</f>
        <v>0</v>
      </c>
      <c r="J288" s="13">
        <f>IF(AND(Sum!$F493="Yes",Sum!$G493="Fees",Sum!K$397=J$5),Sum!K493,0)</f>
        <v>0</v>
      </c>
      <c r="K288" s="13">
        <f>IF(AND(Sum!$F493="Yes",Sum!$G493="Fees",Sum!L$397=K$5),Sum!L493,0)</f>
        <v>0</v>
      </c>
      <c r="L288" s="13">
        <f>IF(AND(Sum!$F493="Yes",Sum!$G493="Fees",Sum!M$397=L$5),Sum!M493,0)</f>
        <v>0</v>
      </c>
      <c r="M288" s="13">
        <f>IF(AND(Sum!$F493="Yes",Sum!$G493="Fees",Sum!N$397=M$5),Sum!N493,0)</f>
        <v>0</v>
      </c>
      <c r="N288" s="13">
        <f>IF(AND(Sum!$F493="Yes",Sum!$G493="Fees",Sum!O$397=N$5),Sum!O493,0)</f>
        <v>0</v>
      </c>
      <c r="O288" s="13">
        <f>IF(AND(Sum!$F493="Yes",Sum!$G493="Fees",Sum!P$397=O$5),Sum!P493,0)</f>
        <v>0</v>
      </c>
      <c r="P288" s="13">
        <f>IF(AND(Sum!$F493="Yes",Sum!$G493="Fees",Sum!Q$397=P$5),Sum!Q493,0)</f>
        <v>0</v>
      </c>
      <c r="Q288" s="264" t="str">
        <f>IF(AND(Sum!$F493="Yes",Sum!$G493="Fees"),Sum!$E493,"")</f>
        <v/>
      </c>
    </row>
    <row r="289" spans="1:17" ht="12.75" customHeight="1" x14ac:dyDescent="0.25">
      <c r="A289" s="18"/>
      <c r="B289" s="306" t="str">
        <f>IF(AND(Sum!$F494="Yes",Sum!$G494="Fees"),Sum!$B494,"")</f>
        <v/>
      </c>
      <c r="C289" s="13"/>
      <c r="D289" s="13"/>
      <c r="E289" s="13"/>
      <c r="F289" s="13"/>
      <c r="G289" s="153">
        <f>IF(AND(Sum!$F494="Yes",Sum!$G494="Fees",Sum!H$397=G$5),Sum!H494,0)</f>
        <v>0</v>
      </c>
      <c r="H289" s="13">
        <f>IF(AND(Sum!$F494="Yes",Sum!$G494="Fees",Sum!I$397=H$5),Sum!I494,0)</f>
        <v>0</v>
      </c>
      <c r="I289" s="13">
        <f>IF(AND(Sum!$F494="Yes",Sum!$G494="Fees",Sum!J$397=I$5),Sum!J494,0)</f>
        <v>0</v>
      </c>
      <c r="J289" s="13">
        <f>IF(AND(Sum!$F494="Yes",Sum!$G494="Fees",Sum!K$397=J$5),Sum!K494,0)</f>
        <v>0</v>
      </c>
      <c r="K289" s="13">
        <f>IF(AND(Sum!$F494="Yes",Sum!$G494="Fees",Sum!L$397=K$5),Sum!L494,0)</f>
        <v>0</v>
      </c>
      <c r="L289" s="13">
        <f>IF(AND(Sum!$F494="Yes",Sum!$G494="Fees",Sum!M$397=L$5),Sum!M494,0)</f>
        <v>0</v>
      </c>
      <c r="M289" s="13">
        <f>IF(AND(Sum!$F494="Yes",Sum!$G494="Fees",Sum!N$397=M$5),Sum!N494,0)</f>
        <v>0</v>
      </c>
      <c r="N289" s="13">
        <f>IF(AND(Sum!$F494="Yes",Sum!$G494="Fees",Sum!O$397=N$5),Sum!O494,0)</f>
        <v>0</v>
      </c>
      <c r="O289" s="13">
        <f>IF(AND(Sum!$F494="Yes",Sum!$G494="Fees",Sum!P$397=O$5),Sum!P494,0)</f>
        <v>0</v>
      </c>
      <c r="P289" s="13">
        <f>IF(AND(Sum!$F494="Yes",Sum!$G494="Fees",Sum!Q$397=P$5),Sum!Q494,0)</f>
        <v>0</v>
      </c>
      <c r="Q289" s="264" t="str">
        <f>IF(AND(Sum!$F494="Yes",Sum!$G494="Fees"),Sum!$E494,"")</f>
        <v/>
      </c>
    </row>
    <row r="290" spans="1:17" ht="12.75" customHeight="1" x14ac:dyDescent="0.25">
      <c r="A290" s="18"/>
      <c r="B290" s="306" t="str">
        <f>IF(AND(Sum!$F495="Yes",Sum!$G495="Fees"),Sum!$B495,"")</f>
        <v/>
      </c>
      <c r="C290" s="13"/>
      <c r="D290" s="13"/>
      <c r="E290" s="13"/>
      <c r="F290" s="13"/>
      <c r="G290" s="153">
        <f>IF(AND(Sum!$F495="Yes",Sum!$G495="Fees",Sum!H$397=G$5),Sum!H495,0)</f>
        <v>0</v>
      </c>
      <c r="H290" s="13">
        <f>IF(AND(Sum!$F495="Yes",Sum!$G495="Fees",Sum!I$397=H$5),Sum!I495,0)</f>
        <v>0</v>
      </c>
      <c r="I290" s="13">
        <f>IF(AND(Sum!$F495="Yes",Sum!$G495="Fees",Sum!J$397=I$5),Sum!J495,0)</f>
        <v>0</v>
      </c>
      <c r="J290" s="13">
        <f>IF(AND(Sum!$F495="Yes",Sum!$G495="Fees",Sum!K$397=J$5),Sum!K495,0)</f>
        <v>0</v>
      </c>
      <c r="K290" s="13">
        <f>IF(AND(Sum!$F495="Yes",Sum!$G495="Fees",Sum!L$397=K$5),Sum!L495,0)</f>
        <v>0</v>
      </c>
      <c r="L290" s="13">
        <f>IF(AND(Sum!$F495="Yes",Sum!$G495="Fees",Sum!M$397=L$5),Sum!M495,0)</f>
        <v>0</v>
      </c>
      <c r="M290" s="13">
        <f>IF(AND(Sum!$F495="Yes",Sum!$G495="Fees",Sum!N$397=M$5),Sum!N495,0)</f>
        <v>0</v>
      </c>
      <c r="N290" s="13">
        <f>IF(AND(Sum!$F495="Yes",Sum!$G495="Fees",Sum!O$397=N$5),Sum!O495,0)</f>
        <v>0</v>
      </c>
      <c r="O290" s="13">
        <f>IF(AND(Sum!$F495="Yes",Sum!$G495="Fees",Sum!P$397=O$5),Sum!P495,0)</f>
        <v>0</v>
      </c>
      <c r="P290" s="13">
        <f>IF(AND(Sum!$F495="Yes",Sum!$G495="Fees",Sum!Q$397=P$5),Sum!Q495,0)</f>
        <v>0</v>
      </c>
      <c r="Q290" s="264" t="str">
        <f>IF(AND(Sum!$F495="Yes",Sum!$G495="Fees"),Sum!$E495,"")</f>
        <v/>
      </c>
    </row>
    <row r="291" spans="1:17" ht="12.75" customHeight="1" x14ac:dyDescent="0.25">
      <c r="A291" s="18"/>
      <c r="B291" s="306" t="str">
        <f>IF(AND(Sum!$F496="Yes",Sum!$G496="Fees"),Sum!$B496,"")</f>
        <v/>
      </c>
      <c r="C291" s="13"/>
      <c r="D291" s="13"/>
      <c r="E291" s="13"/>
      <c r="F291" s="13"/>
      <c r="G291" s="153">
        <f>IF(AND(Sum!$F496="Yes",Sum!$G496="Fees",Sum!H$397=G$5),Sum!H496,0)</f>
        <v>0</v>
      </c>
      <c r="H291" s="13">
        <f>IF(AND(Sum!$F496="Yes",Sum!$G496="Fees",Sum!I$397=H$5),Sum!I496,0)</f>
        <v>0</v>
      </c>
      <c r="I291" s="13">
        <f>IF(AND(Sum!$F496="Yes",Sum!$G496="Fees",Sum!J$397=I$5),Sum!J496,0)</f>
        <v>0</v>
      </c>
      <c r="J291" s="13">
        <f>IF(AND(Sum!$F496="Yes",Sum!$G496="Fees",Sum!K$397=J$5),Sum!K496,0)</f>
        <v>0</v>
      </c>
      <c r="K291" s="13">
        <f>IF(AND(Sum!$F496="Yes",Sum!$G496="Fees",Sum!L$397=K$5),Sum!L496,0)</f>
        <v>0</v>
      </c>
      <c r="L291" s="13">
        <f>IF(AND(Sum!$F496="Yes",Sum!$G496="Fees",Sum!M$397=L$5),Sum!M496,0)</f>
        <v>0</v>
      </c>
      <c r="M291" s="13">
        <f>IF(AND(Sum!$F496="Yes",Sum!$G496="Fees",Sum!N$397=M$5),Sum!N496,0)</f>
        <v>0</v>
      </c>
      <c r="N291" s="13">
        <f>IF(AND(Sum!$F496="Yes",Sum!$G496="Fees",Sum!O$397=N$5),Sum!O496,0)</f>
        <v>0</v>
      </c>
      <c r="O291" s="13">
        <f>IF(AND(Sum!$F496="Yes",Sum!$G496="Fees",Sum!P$397=O$5),Sum!P496,0)</f>
        <v>0</v>
      </c>
      <c r="P291" s="13">
        <f>IF(AND(Sum!$F496="Yes",Sum!$G496="Fees",Sum!Q$397=P$5),Sum!Q496,0)</f>
        <v>0</v>
      </c>
      <c r="Q291" s="264" t="str">
        <f>IF(AND(Sum!$F496="Yes",Sum!$G496="Fees"),Sum!$E496,"")</f>
        <v/>
      </c>
    </row>
    <row r="292" spans="1:17" ht="12.75" customHeight="1" x14ac:dyDescent="0.25">
      <c r="A292" s="18"/>
      <c r="B292" s="306" t="str">
        <f>IF(AND(Sum!$F497="Yes",Sum!$G497="Fees"),Sum!$B497,"")</f>
        <v/>
      </c>
      <c r="C292" s="13"/>
      <c r="D292" s="13"/>
      <c r="E292" s="13"/>
      <c r="F292" s="13"/>
      <c r="G292" s="153">
        <f>IF(AND(Sum!$F497="Yes",Sum!$G497="Fees",Sum!H$397=G$5),Sum!H497,0)</f>
        <v>0</v>
      </c>
      <c r="H292" s="13">
        <f>IF(AND(Sum!$F497="Yes",Sum!$G497="Fees",Sum!I$397=H$5),Sum!I497,0)</f>
        <v>0</v>
      </c>
      <c r="I292" s="13">
        <f>IF(AND(Sum!$F497="Yes",Sum!$G497="Fees",Sum!J$397=I$5),Sum!J497,0)</f>
        <v>0</v>
      </c>
      <c r="J292" s="13">
        <f>IF(AND(Sum!$F497="Yes",Sum!$G497="Fees",Sum!K$397=J$5),Sum!K497,0)</f>
        <v>0</v>
      </c>
      <c r="K292" s="13">
        <f>IF(AND(Sum!$F497="Yes",Sum!$G497="Fees",Sum!L$397=K$5),Sum!L497,0)</f>
        <v>0</v>
      </c>
      <c r="L292" s="13">
        <f>IF(AND(Sum!$F497="Yes",Sum!$G497="Fees",Sum!M$397=L$5),Sum!M497,0)</f>
        <v>0</v>
      </c>
      <c r="M292" s="13">
        <f>IF(AND(Sum!$F497="Yes",Sum!$G497="Fees",Sum!N$397=M$5),Sum!N497,0)</f>
        <v>0</v>
      </c>
      <c r="N292" s="13">
        <f>IF(AND(Sum!$F497="Yes",Sum!$G497="Fees",Sum!O$397=N$5),Sum!O497,0)</f>
        <v>0</v>
      </c>
      <c r="O292" s="13">
        <f>IF(AND(Sum!$F497="Yes",Sum!$G497="Fees",Sum!P$397=O$5),Sum!P497,0)</f>
        <v>0</v>
      </c>
      <c r="P292" s="13">
        <f>IF(AND(Sum!$F497="Yes",Sum!$G497="Fees",Sum!Q$397=P$5),Sum!Q497,0)</f>
        <v>0</v>
      </c>
      <c r="Q292" s="264" t="str">
        <f>IF(AND(Sum!$F497="Yes",Sum!$G497="Fees"),Sum!$E497,"")</f>
        <v/>
      </c>
    </row>
    <row r="293" spans="1:17" ht="12.75" customHeight="1" x14ac:dyDescent="0.25">
      <c r="A293" s="18"/>
      <c r="B293" s="306" t="str">
        <f>IF(AND(Sum!$F498="Yes",Sum!$G498="Fees"),Sum!$B498,"")</f>
        <v/>
      </c>
      <c r="C293" s="13"/>
      <c r="D293" s="13"/>
      <c r="E293" s="13"/>
      <c r="F293" s="13"/>
      <c r="G293" s="153">
        <f>IF(AND(Sum!$F498="Yes",Sum!$G498="Fees",Sum!H$397=G$5),Sum!H498,0)</f>
        <v>0</v>
      </c>
      <c r="H293" s="13">
        <f>IF(AND(Sum!$F498="Yes",Sum!$G498="Fees",Sum!I$397=H$5),Sum!I498,0)</f>
        <v>0</v>
      </c>
      <c r="I293" s="13">
        <f>IF(AND(Sum!$F498="Yes",Sum!$G498="Fees",Sum!J$397=I$5),Sum!J498,0)</f>
        <v>0</v>
      </c>
      <c r="J293" s="13">
        <f>IF(AND(Sum!$F498="Yes",Sum!$G498="Fees",Sum!K$397=J$5),Sum!K498,0)</f>
        <v>0</v>
      </c>
      <c r="K293" s="13">
        <f>IF(AND(Sum!$F498="Yes",Sum!$G498="Fees",Sum!L$397=K$5),Sum!L498,0)</f>
        <v>0</v>
      </c>
      <c r="L293" s="13">
        <f>IF(AND(Sum!$F498="Yes",Sum!$G498="Fees",Sum!M$397=L$5),Sum!M498,0)</f>
        <v>0</v>
      </c>
      <c r="M293" s="13">
        <f>IF(AND(Sum!$F498="Yes",Sum!$G498="Fees",Sum!N$397=M$5),Sum!N498,0)</f>
        <v>0</v>
      </c>
      <c r="N293" s="13">
        <f>IF(AND(Sum!$F498="Yes",Sum!$G498="Fees",Sum!O$397=N$5),Sum!O498,0)</f>
        <v>0</v>
      </c>
      <c r="O293" s="13">
        <f>IF(AND(Sum!$F498="Yes",Sum!$G498="Fees",Sum!P$397=O$5),Sum!P498,0)</f>
        <v>0</v>
      </c>
      <c r="P293" s="13">
        <f>IF(AND(Sum!$F498="Yes",Sum!$G498="Fees",Sum!Q$397=P$5),Sum!Q498,0)</f>
        <v>0</v>
      </c>
      <c r="Q293" s="264" t="str">
        <f>IF(AND(Sum!$F498="Yes",Sum!$G498="Fees"),Sum!$E498,"")</f>
        <v/>
      </c>
    </row>
    <row r="294" spans="1:17" ht="12.75" customHeight="1" x14ac:dyDescent="0.25">
      <c r="A294" s="18"/>
      <c r="B294" s="306" t="str">
        <f>IF(AND(Sum!$F499="Yes",Sum!$G499="Fees"),Sum!$B499,"")</f>
        <v/>
      </c>
      <c r="C294" s="13"/>
      <c r="D294" s="13"/>
      <c r="E294" s="13"/>
      <c r="F294" s="13"/>
      <c r="G294" s="153">
        <f>IF(AND(Sum!$F499="Yes",Sum!$G499="Fees",Sum!H$397=G$5),Sum!H499,0)</f>
        <v>0</v>
      </c>
      <c r="H294" s="13">
        <f>IF(AND(Sum!$F499="Yes",Sum!$G499="Fees",Sum!I$397=H$5),Sum!I499,0)</f>
        <v>0</v>
      </c>
      <c r="I294" s="13">
        <f>IF(AND(Sum!$F499="Yes",Sum!$G499="Fees",Sum!J$397=I$5),Sum!J499,0)</f>
        <v>0</v>
      </c>
      <c r="J294" s="13">
        <f>IF(AND(Sum!$F499="Yes",Sum!$G499="Fees",Sum!K$397=J$5),Sum!K499,0)</f>
        <v>0</v>
      </c>
      <c r="K294" s="13">
        <f>IF(AND(Sum!$F499="Yes",Sum!$G499="Fees",Sum!L$397=K$5),Sum!L499,0)</f>
        <v>0</v>
      </c>
      <c r="L294" s="13">
        <f>IF(AND(Sum!$F499="Yes",Sum!$G499="Fees",Sum!M$397=L$5),Sum!M499,0)</f>
        <v>0</v>
      </c>
      <c r="M294" s="13">
        <f>IF(AND(Sum!$F499="Yes",Sum!$G499="Fees",Sum!N$397=M$5),Sum!N499,0)</f>
        <v>0</v>
      </c>
      <c r="N294" s="13">
        <f>IF(AND(Sum!$F499="Yes",Sum!$G499="Fees",Sum!O$397=N$5),Sum!O499,0)</f>
        <v>0</v>
      </c>
      <c r="O294" s="13">
        <f>IF(AND(Sum!$F499="Yes",Sum!$G499="Fees",Sum!P$397=O$5),Sum!P499,0)</f>
        <v>0</v>
      </c>
      <c r="P294" s="13">
        <f>IF(AND(Sum!$F499="Yes",Sum!$G499="Fees",Sum!Q$397=P$5),Sum!Q499,0)</f>
        <v>0</v>
      </c>
      <c r="Q294" s="264" t="str">
        <f>IF(AND(Sum!$F499="Yes",Sum!$G499="Fees"),Sum!$E499,"")</f>
        <v/>
      </c>
    </row>
    <row r="295" spans="1:17" ht="12.75" customHeight="1" x14ac:dyDescent="0.25">
      <c r="A295" s="18"/>
      <c r="B295" s="306" t="str">
        <f>IF(AND(Sum!$F500="Yes",Sum!$G500="Fees"),Sum!$B500,"")</f>
        <v/>
      </c>
      <c r="C295" s="13"/>
      <c r="D295" s="13"/>
      <c r="E295" s="13"/>
      <c r="F295" s="13"/>
      <c r="G295" s="153">
        <f>IF(AND(Sum!$F500="Yes",Sum!$G500="Fees",Sum!H$397=G$5),Sum!H500,0)</f>
        <v>0</v>
      </c>
      <c r="H295" s="13">
        <f>IF(AND(Sum!$F500="Yes",Sum!$G500="Fees",Sum!I$397=H$5),Sum!I500,0)</f>
        <v>0</v>
      </c>
      <c r="I295" s="13">
        <f>IF(AND(Sum!$F500="Yes",Sum!$G500="Fees",Sum!J$397=I$5),Sum!J500,0)</f>
        <v>0</v>
      </c>
      <c r="J295" s="13">
        <f>IF(AND(Sum!$F500="Yes",Sum!$G500="Fees",Sum!K$397=J$5),Sum!K500,0)</f>
        <v>0</v>
      </c>
      <c r="K295" s="13">
        <f>IF(AND(Sum!$F500="Yes",Sum!$G500="Fees",Sum!L$397=K$5),Sum!L500,0)</f>
        <v>0</v>
      </c>
      <c r="L295" s="13">
        <f>IF(AND(Sum!$F500="Yes",Sum!$G500="Fees",Sum!M$397=L$5),Sum!M500,0)</f>
        <v>0</v>
      </c>
      <c r="M295" s="13">
        <f>IF(AND(Sum!$F500="Yes",Sum!$G500="Fees",Sum!N$397=M$5),Sum!N500,0)</f>
        <v>0</v>
      </c>
      <c r="N295" s="13">
        <f>IF(AND(Sum!$F500="Yes",Sum!$G500="Fees",Sum!O$397=N$5),Sum!O500,0)</f>
        <v>0</v>
      </c>
      <c r="O295" s="13">
        <f>IF(AND(Sum!$F500="Yes",Sum!$G500="Fees",Sum!P$397=O$5),Sum!P500,0)</f>
        <v>0</v>
      </c>
      <c r="P295" s="13">
        <f>IF(AND(Sum!$F500="Yes",Sum!$G500="Fees",Sum!Q$397=P$5),Sum!Q500,0)</f>
        <v>0</v>
      </c>
      <c r="Q295" s="264" t="str">
        <f>IF(AND(Sum!$F500="Yes",Sum!$G500="Fees"),Sum!$E500,"")</f>
        <v/>
      </c>
    </row>
    <row r="296" spans="1:17" ht="12.75" customHeight="1" x14ac:dyDescent="0.25">
      <c r="A296" s="18"/>
      <c r="B296" s="306" t="str">
        <f>IF(AND(Sum!$F501="Yes",Sum!$G501="Fees"),Sum!$B501,"")</f>
        <v/>
      </c>
      <c r="C296" s="13"/>
      <c r="D296" s="13"/>
      <c r="E296" s="13"/>
      <c r="F296" s="13"/>
      <c r="G296" s="153">
        <f>IF(AND(Sum!$F501="Yes",Sum!$G501="Fees",Sum!H$397=G$5),Sum!H501,0)</f>
        <v>0</v>
      </c>
      <c r="H296" s="13">
        <f>IF(AND(Sum!$F501="Yes",Sum!$G501="Fees",Sum!I$397=H$5),Sum!I501,0)</f>
        <v>0</v>
      </c>
      <c r="I296" s="13">
        <f>IF(AND(Sum!$F501="Yes",Sum!$G501="Fees",Sum!J$397=I$5),Sum!J501,0)</f>
        <v>0</v>
      </c>
      <c r="J296" s="13">
        <f>IF(AND(Sum!$F501="Yes",Sum!$G501="Fees",Sum!K$397=J$5),Sum!K501,0)</f>
        <v>0</v>
      </c>
      <c r="K296" s="13">
        <f>IF(AND(Sum!$F501="Yes",Sum!$G501="Fees",Sum!L$397=K$5),Sum!L501,0)</f>
        <v>0</v>
      </c>
      <c r="L296" s="13">
        <f>IF(AND(Sum!$F501="Yes",Sum!$G501="Fees",Sum!M$397=L$5),Sum!M501,0)</f>
        <v>0</v>
      </c>
      <c r="M296" s="13">
        <f>IF(AND(Sum!$F501="Yes",Sum!$G501="Fees",Sum!N$397=M$5),Sum!N501,0)</f>
        <v>0</v>
      </c>
      <c r="N296" s="13">
        <f>IF(AND(Sum!$F501="Yes",Sum!$G501="Fees",Sum!O$397=N$5),Sum!O501,0)</f>
        <v>0</v>
      </c>
      <c r="O296" s="13">
        <f>IF(AND(Sum!$F501="Yes",Sum!$G501="Fees",Sum!P$397=O$5),Sum!P501,0)</f>
        <v>0</v>
      </c>
      <c r="P296" s="13">
        <f>IF(AND(Sum!$F501="Yes",Sum!$G501="Fees",Sum!Q$397=P$5),Sum!Q501,0)</f>
        <v>0</v>
      </c>
      <c r="Q296" s="264" t="str">
        <f>IF(AND(Sum!$F501="Yes",Sum!$G501="Fees"),Sum!$E501,"")</f>
        <v/>
      </c>
    </row>
    <row r="297" spans="1:17" ht="12.75" customHeight="1" x14ac:dyDescent="0.25">
      <c r="A297" s="18"/>
      <c r="B297" s="306" t="str">
        <f>IF(AND(Sum!$F502="Yes",Sum!$G502="Fees"),Sum!$B502,"")</f>
        <v/>
      </c>
      <c r="C297" s="13"/>
      <c r="D297" s="13"/>
      <c r="E297" s="13"/>
      <c r="F297" s="13"/>
      <c r="G297" s="153">
        <f>IF(AND(Sum!$F502="Yes",Sum!$G502="Fees",Sum!H$397=G$5),Sum!H502,0)</f>
        <v>0</v>
      </c>
      <c r="H297" s="13">
        <f>IF(AND(Sum!$F502="Yes",Sum!$G502="Fees",Sum!I$397=H$5),Sum!I502,0)</f>
        <v>0</v>
      </c>
      <c r="I297" s="13">
        <f>IF(AND(Sum!$F502="Yes",Sum!$G502="Fees",Sum!J$397=I$5),Sum!J502,0)</f>
        <v>0</v>
      </c>
      <c r="J297" s="13">
        <f>IF(AND(Sum!$F502="Yes",Sum!$G502="Fees",Sum!K$397=J$5),Sum!K502,0)</f>
        <v>0</v>
      </c>
      <c r="K297" s="13">
        <f>IF(AND(Sum!$F502="Yes",Sum!$G502="Fees",Sum!L$397=K$5),Sum!L502,0)</f>
        <v>0</v>
      </c>
      <c r="L297" s="13">
        <f>IF(AND(Sum!$F502="Yes",Sum!$G502="Fees",Sum!M$397=L$5),Sum!M502,0)</f>
        <v>0</v>
      </c>
      <c r="M297" s="13">
        <f>IF(AND(Sum!$F502="Yes",Sum!$G502="Fees",Sum!N$397=M$5),Sum!N502,0)</f>
        <v>0</v>
      </c>
      <c r="N297" s="13">
        <f>IF(AND(Sum!$F502="Yes",Sum!$G502="Fees",Sum!O$397=N$5),Sum!O502,0)</f>
        <v>0</v>
      </c>
      <c r="O297" s="13">
        <f>IF(AND(Sum!$F502="Yes",Sum!$G502="Fees",Sum!P$397=O$5),Sum!P502,0)</f>
        <v>0</v>
      </c>
      <c r="P297" s="13">
        <f>IF(AND(Sum!$F502="Yes",Sum!$G502="Fees",Sum!Q$397=P$5),Sum!Q502,0)</f>
        <v>0</v>
      </c>
      <c r="Q297" s="264" t="str">
        <f>IF(AND(Sum!$F502="Yes",Sum!$G502="Fees"),Sum!$E502,"")</f>
        <v/>
      </c>
    </row>
    <row r="298" spans="1:17" ht="12.75" customHeight="1" x14ac:dyDescent="0.25">
      <c r="A298" s="18"/>
      <c r="B298" s="306" t="str">
        <f>IF(AND(Sum!$F503="Yes",Sum!$G503="Fees"),Sum!$B503,"")</f>
        <v/>
      </c>
      <c r="C298" s="13"/>
      <c r="D298" s="13"/>
      <c r="E298" s="13"/>
      <c r="F298" s="13"/>
      <c r="G298" s="153">
        <f>IF(AND(Sum!$F503="Yes",Sum!$G503="Fees",Sum!H$397=G$5),Sum!H503,0)</f>
        <v>0</v>
      </c>
      <c r="H298" s="13">
        <f>IF(AND(Sum!$F503="Yes",Sum!$G503="Fees",Sum!I$397=H$5),Sum!I503,0)</f>
        <v>0</v>
      </c>
      <c r="I298" s="13">
        <f>IF(AND(Sum!$F503="Yes",Sum!$G503="Fees",Sum!J$397=I$5),Sum!J503,0)</f>
        <v>0</v>
      </c>
      <c r="J298" s="13">
        <f>IF(AND(Sum!$F503="Yes",Sum!$G503="Fees",Sum!K$397=J$5),Sum!K503,0)</f>
        <v>0</v>
      </c>
      <c r="K298" s="13">
        <f>IF(AND(Sum!$F503="Yes",Sum!$G503="Fees",Sum!L$397=K$5),Sum!L503,0)</f>
        <v>0</v>
      </c>
      <c r="L298" s="13">
        <f>IF(AND(Sum!$F503="Yes",Sum!$G503="Fees",Sum!M$397=L$5),Sum!M503,0)</f>
        <v>0</v>
      </c>
      <c r="M298" s="13">
        <f>IF(AND(Sum!$F503="Yes",Sum!$G503="Fees",Sum!N$397=M$5),Sum!N503,0)</f>
        <v>0</v>
      </c>
      <c r="N298" s="13">
        <f>IF(AND(Sum!$F503="Yes",Sum!$G503="Fees",Sum!O$397=N$5),Sum!O503,0)</f>
        <v>0</v>
      </c>
      <c r="O298" s="13">
        <f>IF(AND(Sum!$F503="Yes",Sum!$G503="Fees",Sum!P$397=O$5),Sum!P503,0)</f>
        <v>0</v>
      </c>
      <c r="P298" s="13">
        <f>IF(AND(Sum!$F503="Yes",Sum!$G503="Fees",Sum!Q$397=P$5),Sum!Q503,0)</f>
        <v>0</v>
      </c>
      <c r="Q298" s="264" t="str">
        <f>IF(AND(Sum!$F503="Yes",Sum!$G503="Fees"),Sum!$E503,"")</f>
        <v/>
      </c>
    </row>
    <row r="299" spans="1:17" ht="12.75" customHeight="1" x14ac:dyDescent="0.25">
      <c r="A299" s="18"/>
      <c r="B299" s="306" t="str">
        <f>IF(AND(Sum!$F504="Yes",Sum!$G504="Fees"),Sum!$B504,"")</f>
        <v/>
      </c>
      <c r="C299" s="13"/>
      <c r="D299" s="13"/>
      <c r="E299" s="13"/>
      <c r="F299" s="13"/>
      <c r="G299" s="153">
        <f>IF(AND(Sum!$F504="Yes",Sum!$G504="Fees",Sum!H$397=G$5),Sum!H504,0)</f>
        <v>0</v>
      </c>
      <c r="H299" s="13">
        <f>IF(AND(Sum!$F504="Yes",Sum!$G504="Fees",Sum!I$397=H$5),Sum!I504,0)</f>
        <v>0</v>
      </c>
      <c r="I299" s="13">
        <f>IF(AND(Sum!$F504="Yes",Sum!$G504="Fees",Sum!J$397=I$5),Sum!J504,0)</f>
        <v>0</v>
      </c>
      <c r="J299" s="13">
        <f>IF(AND(Sum!$F504="Yes",Sum!$G504="Fees",Sum!K$397=J$5),Sum!K504,0)</f>
        <v>0</v>
      </c>
      <c r="K299" s="13">
        <f>IF(AND(Sum!$F504="Yes",Sum!$G504="Fees",Sum!L$397=K$5),Sum!L504,0)</f>
        <v>0</v>
      </c>
      <c r="L299" s="13">
        <f>IF(AND(Sum!$F504="Yes",Sum!$G504="Fees",Sum!M$397=L$5),Sum!M504,0)</f>
        <v>0</v>
      </c>
      <c r="M299" s="13">
        <f>IF(AND(Sum!$F504="Yes",Sum!$G504="Fees",Sum!N$397=M$5),Sum!N504,0)</f>
        <v>0</v>
      </c>
      <c r="N299" s="13">
        <f>IF(AND(Sum!$F504="Yes",Sum!$G504="Fees",Sum!O$397=N$5),Sum!O504,0)</f>
        <v>0</v>
      </c>
      <c r="O299" s="13">
        <f>IF(AND(Sum!$F504="Yes",Sum!$G504="Fees",Sum!P$397=O$5),Sum!P504,0)</f>
        <v>0</v>
      </c>
      <c r="P299" s="13">
        <f>IF(AND(Sum!$F504="Yes",Sum!$G504="Fees",Sum!Q$397=P$5),Sum!Q504,0)</f>
        <v>0</v>
      </c>
      <c r="Q299" s="264" t="str">
        <f>IF(AND(Sum!$F504="Yes",Sum!$G504="Fees"),Sum!$E504,"")</f>
        <v/>
      </c>
    </row>
    <row r="300" spans="1:17" ht="12.75" customHeight="1" x14ac:dyDescent="0.25">
      <c r="A300" s="18"/>
      <c r="B300" s="306" t="str">
        <f>IF(AND(Sum!$F505="Yes",Sum!$G505="Fees"),Sum!$B505,"")</f>
        <v/>
      </c>
      <c r="C300" s="13"/>
      <c r="D300" s="13"/>
      <c r="E300" s="13"/>
      <c r="F300" s="13"/>
      <c r="G300" s="153">
        <f>IF(AND(Sum!$F505="Yes",Sum!$G505="Fees",Sum!H$397=G$5),Sum!H505,0)</f>
        <v>0</v>
      </c>
      <c r="H300" s="13">
        <f>IF(AND(Sum!$F505="Yes",Sum!$G505="Fees",Sum!I$397=H$5),Sum!I505,0)</f>
        <v>0</v>
      </c>
      <c r="I300" s="13">
        <f>IF(AND(Sum!$F505="Yes",Sum!$G505="Fees",Sum!J$397=I$5),Sum!J505,0)</f>
        <v>0</v>
      </c>
      <c r="J300" s="13">
        <f>IF(AND(Sum!$F505="Yes",Sum!$G505="Fees",Sum!K$397=J$5),Sum!K505,0)</f>
        <v>0</v>
      </c>
      <c r="K300" s="13">
        <f>IF(AND(Sum!$F505="Yes",Sum!$G505="Fees",Sum!L$397=K$5),Sum!L505,0)</f>
        <v>0</v>
      </c>
      <c r="L300" s="13">
        <f>IF(AND(Sum!$F505="Yes",Sum!$G505="Fees",Sum!M$397=L$5),Sum!M505,0)</f>
        <v>0</v>
      </c>
      <c r="M300" s="13">
        <f>IF(AND(Sum!$F505="Yes",Sum!$G505="Fees",Sum!N$397=M$5),Sum!N505,0)</f>
        <v>0</v>
      </c>
      <c r="N300" s="13">
        <f>IF(AND(Sum!$F505="Yes",Sum!$G505="Fees",Sum!O$397=N$5),Sum!O505,0)</f>
        <v>0</v>
      </c>
      <c r="O300" s="13">
        <f>IF(AND(Sum!$F505="Yes",Sum!$G505="Fees",Sum!P$397=O$5),Sum!P505,0)</f>
        <v>0</v>
      </c>
      <c r="P300" s="13">
        <f>IF(AND(Sum!$F505="Yes",Sum!$G505="Fees",Sum!Q$397=P$5),Sum!Q505,0)</f>
        <v>0</v>
      </c>
      <c r="Q300" s="264" t="str">
        <f>IF(AND(Sum!$F505="Yes",Sum!$G505="Fees"),Sum!$E505,"")</f>
        <v/>
      </c>
    </row>
    <row r="301" spans="1:17" ht="12.75" customHeight="1" x14ac:dyDescent="0.25">
      <c r="A301" s="18"/>
      <c r="B301" s="306" t="str">
        <f>IF(AND(Sum!$F506="Yes",Sum!$G506="Fees"),Sum!$B506,"")</f>
        <v/>
      </c>
      <c r="C301" s="13"/>
      <c r="D301" s="13"/>
      <c r="E301" s="13"/>
      <c r="F301" s="13"/>
      <c r="G301" s="153">
        <f>IF(AND(Sum!$F506="Yes",Sum!$G506="Fees",Sum!H$397=G$5),Sum!H506,0)</f>
        <v>0</v>
      </c>
      <c r="H301" s="13">
        <f>IF(AND(Sum!$F506="Yes",Sum!$G506="Fees",Sum!I$397=H$5),Sum!I506,0)</f>
        <v>0</v>
      </c>
      <c r="I301" s="13">
        <f>IF(AND(Sum!$F506="Yes",Sum!$G506="Fees",Sum!J$397=I$5),Sum!J506,0)</f>
        <v>0</v>
      </c>
      <c r="J301" s="13">
        <f>IF(AND(Sum!$F506="Yes",Sum!$G506="Fees",Sum!K$397=J$5),Sum!K506,0)</f>
        <v>0</v>
      </c>
      <c r="K301" s="13">
        <f>IF(AND(Sum!$F506="Yes",Sum!$G506="Fees",Sum!L$397=K$5),Sum!L506,0)</f>
        <v>0</v>
      </c>
      <c r="L301" s="13">
        <f>IF(AND(Sum!$F506="Yes",Sum!$G506="Fees",Sum!M$397=L$5),Sum!M506,0)</f>
        <v>0</v>
      </c>
      <c r="M301" s="13">
        <f>IF(AND(Sum!$F506="Yes",Sum!$G506="Fees",Sum!N$397=M$5),Sum!N506,0)</f>
        <v>0</v>
      </c>
      <c r="N301" s="13">
        <f>IF(AND(Sum!$F506="Yes",Sum!$G506="Fees",Sum!O$397=N$5),Sum!O506,0)</f>
        <v>0</v>
      </c>
      <c r="O301" s="13">
        <f>IF(AND(Sum!$F506="Yes",Sum!$G506="Fees",Sum!P$397=O$5),Sum!P506,0)</f>
        <v>0</v>
      </c>
      <c r="P301" s="13">
        <f>IF(AND(Sum!$F506="Yes",Sum!$G506="Fees",Sum!Q$397=P$5),Sum!Q506,0)</f>
        <v>0</v>
      </c>
      <c r="Q301" s="264" t="str">
        <f>IF(AND(Sum!$F506="Yes",Sum!$G506="Fees"),Sum!$E506,"")</f>
        <v/>
      </c>
    </row>
    <row r="302" spans="1:17" ht="12.75" customHeight="1" x14ac:dyDescent="0.25">
      <c r="A302" s="18"/>
      <c r="B302" s="306" t="str">
        <f>IF(AND(Sum!$F507="Yes",Sum!$G507="Fees"),Sum!$B507,"")</f>
        <v/>
      </c>
      <c r="C302" s="13"/>
      <c r="D302" s="13"/>
      <c r="E302" s="13"/>
      <c r="F302" s="13"/>
      <c r="G302" s="153">
        <f>IF(AND(Sum!$F507="Yes",Sum!$G507="Fees",Sum!H$397=G$5),Sum!H507,0)</f>
        <v>0</v>
      </c>
      <c r="H302" s="13">
        <f>IF(AND(Sum!$F507="Yes",Sum!$G507="Fees",Sum!I$397=H$5),Sum!I507,0)</f>
        <v>0</v>
      </c>
      <c r="I302" s="13">
        <f>IF(AND(Sum!$F507="Yes",Sum!$G507="Fees",Sum!J$397=I$5),Sum!J507,0)</f>
        <v>0</v>
      </c>
      <c r="J302" s="13">
        <f>IF(AND(Sum!$F507="Yes",Sum!$G507="Fees",Sum!K$397=J$5),Sum!K507,0)</f>
        <v>0</v>
      </c>
      <c r="K302" s="13">
        <f>IF(AND(Sum!$F507="Yes",Sum!$G507="Fees",Sum!L$397=K$5),Sum!L507,0)</f>
        <v>0</v>
      </c>
      <c r="L302" s="13">
        <f>IF(AND(Sum!$F507="Yes",Sum!$G507="Fees",Sum!M$397=L$5),Sum!M507,0)</f>
        <v>0</v>
      </c>
      <c r="M302" s="13">
        <f>IF(AND(Sum!$F507="Yes",Sum!$G507="Fees",Sum!N$397=M$5),Sum!N507,0)</f>
        <v>0</v>
      </c>
      <c r="N302" s="13">
        <f>IF(AND(Sum!$F507="Yes",Sum!$G507="Fees",Sum!O$397=N$5),Sum!O507,0)</f>
        <v>0</v>
      </c>
      <c r="O302" s="13">
        <f>IF(AND(Sum!$F507="Yes",Sum!$G507="Fees",Sum!P$397=O$5),Sum!P507,0)</f>
        <v>0</v>
      </c>
      <c r="P302" s="13">
        <f>IF(AND(Sum!$F507="Yes",Sum!$G507="Fees",Sum!Q$397=P$5),Sum!Q507,0)</f>
        <v>0</v>
      </c>
      <c r="Q302" s="264" t="str">
        <f>IF(AND(Sum!$F507="Yes",Sum!$G507="Fees"),Sum!$E507,"")</f>
        <v/>
      </c>
    </row>
    <row r="303" spans="1:17" ht="12.75" customHeight="1" x14ac:dyDescent="0.25">
      <c r="A303" s="18"/>
      <c r="B303" s="306" t="str">
        <f>IF(AND(Sum!$F508="Yes",Sum!$G508="Fees"),Sum!$B508,"")</f>
        <v/>
      </c>
      <c r="C303" s="13"/>
      <c r="D303" s="13"/>
      <c r="E303" s="13"/>
      <c r="F303" s="13"/>
      <c r="G303" s="153">
        <f>IF(AND(Sum!$F508="Yes",Sum!$G508="Fees",Sum!H$397=G$5),Sum!H508,0)</f>
        <v>0</v>
      </c>
      <c r="H303" s="13">
        <f>IF(AND(Sum!$F508="Yes",Sum!$G508="Fees",Sum!I$397=H$5),Sum!I508,0)</f>
        <v>0</v>
      </c>
      <c r="I303" s="13">
        <f>IF(AND(Sum!$F508="Yes",Sum!$G508="Fees",Sum!J$397=I$5),Sum!J508,0)</f>
        <v>0</v>
      </c>
      <c r="J303" s="13">
        <f>IF(AND(Sum!$F508="Yes",Sum!$G508="Fees",Sum!K$397=J$5),Sum!K508,0)</f>
        <v>0</v>
      </c>
      <c r="K303" s="13">
        <f>IF(AND(Sum!$F508="Yes",Sum!$G508="Fees",Sum!L$397=K$5),Sum!L508,0)</f>
        <v>0</v>
      </c>
      <c r="L303" s="13">
        <f>IF(AND(Sum!$F508="Yes",Sum!$G508="Fees",Sum!M$397=L$5),Sum!M508,0)</f>
        <v>0</v>
      </c>
      <c r="M303" s="13">
        <f>IF(AND(Sum!$F508="Yes",Sum!$G508="Fees",Sum!N$397=M$5),Sum!N508,0)</f>
        <v>0</v>
      </c>
      <c r="N303" s="13">
        <f>IF(AND(Sum!$F508="Yes",Sum!$G508="Fees",Sum!O$397=N$5),Sum!O508,0)</f>
        <v>0</v>
      </c>
      <c r="O303" s="13">
        <f>IF(AND(Sum!$F508="Yes",Sum!$G508="Fees",Sum!P$397=O$5),Sum!P508,0)</f>
        <v>0</v>
      </c>
      <c r="P303" s="13">
        <f>IF(AND(Sum!$F508="Yes",Sum!$G508="Fees",Sum!Q$397=P$5),Sum!Q508,0)</f>
        <v>0</v>
      </c>
      <c r="Q303" s="264" t="str">
        <f>IF(AND(Sum!$F508="Yes",Sum!$G508="Fees"),Sum!$E508,"")</f>
        <v/>
      </c>
    </row>
    <row r="304" spans="1:17" ht="12.75" customHeight="1" x14ac:dyDescent="0.25">
      <c r="A304" s="18"/>
      <c r="B304" s="306" t="str">
        <f>IF(AND(Sum!$F509="Yes",Sum!$G509="Fees"),Sum!$B509,"")</f>
        <v/>
      </c>
      <c r="C304" s="13"/>
      <c r="D304" s="13"/>
      <c r="E304" s="13"/>
      <c r="F304" s="13"/>
      <c r="G304" s="153">
        <f>IF(AND(Sum!$F509="Yes",Sum!$G509="Fees",Sum!H$397=G$5),Sum!H509,0)</f>
        <v>0</v>
      </c>
      <c r="H304" s="13">
        <f>IF(AND(Sum!$F509="Yes",Sum!$G509="Fees",Sum!I$397=H$5),Sum!I509,0)</f>
        <v>0</v>
      </c>
      <c r="I304" s="13">
        <f>IF(AND(Sum!$F509="Yes",Sum!$G509="Fees",Sum!J$397=I$5),Sum!J509,0)</f>
        <v>0</v>
      </c>
      <c r="J304" s="13">
        <f>IF(AND(Sum!$F509="Yes",Sum!$G509="Fees",Sum!K$397=J$5),Sum!K509,0)</f>
        <v>0</v>
      </c>
      <c r="K304" s="13">
        <f>IF(AND(Sum!$F509="Yes",Sum!$G509="Fees",Sum!L$397=K$5),Sum!L509,0)</f>
        <v>0</v>
      </c>
      <c r="L304" s="13">
        <f>IF(AND(Sum!$F509="Yes",Sum!$G509="Fees",Sum!M$397=L$5),Sum!M509,0)</f>
        <v>0</v>
      </c>
      <c r="M304" s="13">
        <f>IF(AND(Sum!$F509="Yes",Sum!$G509="Fees",Sum!N$397=M$5),Sum!N509,0)</f>
        <v>0</v>
      </c>
      <c r="N304" s="13">
        <f>IF(AND(Sum!$F509="Yes",Sum!$G509="Fees",Sum!O$397=N$5),Sum!O509,0)</f>
        <v>0</v>
      </c>
      <c r="O304" s="13">
        <f>IF(AND(Sum!$F509="Yes",Sum!$G509="Fees",Sum!P$397=O$5),Sum!P509,0)</f>
        <v>0</v>
      </c>
      <c r="P304" s="13">
        <f>IF(AND(Sum!$F509="Yes",Sum!$G509="Fees",Sum!Q$397=P$5),Sum!Q509,0)</f>
        <v>0</v>
      </c>
      <c r="Q304" s="264" t="str">
        <f>IF(AND(Sum!$F509="Yes",Sum!$G509="Fees"),Sum!$E509,"")</f>
        <v/>
      </c>
    </row>
    <row r="305" spans="1:17" ht="12.75" customHeight="1" x14ac:dyDescent="0.25">
      <c r="A305" s="18"/>
      <c r="B305" s="306" t="str">
        <f>IF(AND(Sum!$F510="Yes",Sum!$G510="Fees"),Sum!$B510,"")</f>
        <v/>
      </c>
      <c r="C305" s="13"/>
      <c r="D305" s="13"/>
      <c r="E305" s="13"/>
      <c r="F305" s="13"/>
      <c r="G305" s="153">
        <f>IF(AND(Sum!$F510="Yes",Sum!$G510="Fees",Sum!H$397=G$5),Sum!H510,0)</f>
        <v>0</v>
      </c>
      <c r="H305" s="13">
        <f>IF(AND(Sum!$F510="Yes",Sum!$G510="Fees",Sum!I$397=H$5),Sum!I510,0)</f>
        <v>0</v>
      </c>
      <c r="I305" s="13">
        <f>IF(AND(Sum!$F510="Yes",Sum!$G510="Fees",Sum!J$397=I$5),Sum!J510,0)</f>
        <v>0</v>
      </c>
      <c r="J305" s="13">
        <f>IF(AND(Sum!$F510="Yes",Sum!$G510="Fees",Sum!K$397=J$5),Sum!K510,0)</f>
        <v>0</v>
      </c>
      <c r="K305" s="13">
        <f>IF(AND(Sum!$F510="Yes",Sum!$G510="Fees",Sum!L$397=K$5),Sum!L510,0)</f>
        <v>0</v>
      </c>
      <c r="L305" s="13">
        <f>IF(AND(Sum!$F510="Yes",Sum!$G510="Fees",Sum!M$397=L$5),Sum!M510,0)</f>
        <v>0</v>
      </c>
      <c r="M305" s="13">
        <f>IF(AND(Sum!$F510="Yes",Sum!$G510="Fees",Sum!N$397=M$5),Sum!N510,0)</f>
        <v>0</v>
      </c>
      <c r="N305" s="13">
        <f>IF(AND(Sum!$F510="Yes",Sum!$G510="Fees",Sum!O$397=N$5),Sum!O510,0)</f>
        <v>0</v>
      </c>
      <c r="O305" s="13">
        <f>IF(AND(Sum!$F510="Yes",Sum!$G510="Fees",Sum!P$397=O$5),Sum!P510,0)</f>
        <v>0</v>
      </c>
      <c r="P305" s="13">
        <f>IF(AND(Sum!$F510="Yes",Sum!$G510="Fees",Sum!Q$397=P$5),Sum!Q510,0)</f>
        <v>0</v>
      </c>
      <c r="Q305" s="264" t="str">
        <f>IF(AND(Sum!$F510="Yes",Sum!$G510="Fees"),Sum!$E510,"")</f>
        <v/>
      </c>
    </row>
    <row r="306" spans="1:17" ht="12.75" customHeight="1" x14ac:dyDescent="0.25">
      <c r="A306" s="18"/>
      <c r="B306" s="306" t="str">
        <f>IF(AND(Sum!$F511="Yes",Sum!$G511="Fees"),Sum!$B511,"")</f>
        <v/>
      </c>
      <c r="C306" s="13"/>
      <c r="D306" s="13"/>
      <c r="E306" s="13"/>
      <c r="F306" s="13"/>
      <c r="G306" s="153">
        <f>IF(AND(Sum!$F511="Yes",Sum!$G511="Fees",Sum!H$397=G$5),Sum!H511,0)</f>
        <v>0</v>
      </c>
      <c r="H306" s="13">
        <f>IF(AND(Sum!$F511="Yes",Sum!$G511="Fees",Sum!I$397=H$5),Sum!I511,0)</f>
        <v>0</v>
      </c>
      <c r="I306" s="13">
        <f>IF(AND(Sum!$F511="Yes",Sum!$G511="Fees",Sum!J$397=I$5),Sum!J511,0)</f>
        <v>0</v>
      </c>
      <c r="J306" s="13">
        <f>IF(AND(Sum!$F511="Yes",Sum!$G511="Fees",Sum!K$397=J$5),Sum!K511,0)</f>
        <v>0</v>
      </c>
      <c r="K306" s="13">
        <f>IF(AND(Sum!$F511="Yes",Sum!$G511="Fees",Sum!L$397=K$5),Sum!L511,0)</f>
        <v>0</v>
      </c>
      <c r="L306" s="13">
        <f>IF(AND(Sum!$F511="Yes",Sum!$G511="Fees",Sum!M$397=L$5),Sum!M511,0)</f>
        <v>0</v>
      </c>
      <c r="M306" s="13">
        <f>IF(AND(Sum!$F511="Yes",Sum!$G511="Fees",Sum!N$397=M$5),Sum!N511,0)</f>
        <v>0</v>
      </c>
      <c r="N306" s="13">
        <f>IF(AND(Sum!$F511="Yes",Sum!$G511="Fees",Sum!O$397=N$5),Sum!O511,0)</f>
        <v>0</v>
      </c>
      <c r="O306" s="13">
        <f>IF(AND(Sum!$F511="Yes",Sum!$G511="Fees",Sum!P$397=O$5),Sum!P511,0)</f>
        <v>0</v>
      </c>
      <c r="P306" s="13">
        <f>IF(AND(Sum!$F511="Yes",Sum!$G511="Fees",Sum!Q$397=P$5),Sum!Q511,0)</f>
        <v>0</v>
      </c>
      <c r="Q306" s="264" t="str">
        <f>IF(AND(Sum!$F511="Yes",Sum!$G511="Fees"),Sum!$E511,"")</f>
        <v/>
      </c>
    </row>
    <row r="307" spans="1:17" ht="12.75" customHeight="1" x14ac:dyDescent="0.25">
      <c r="A307" s="18"/>
      <c r="B307" s="306" t="str">
        <f>IF(AND(Sum!$F512="Yes",Sum!$G512="Fees"),Sum!$B512,"")</f>
        <v/>
      </c>
      <c r="C307" s="13"/>
      <c r="D307" s="13"/>
      <c r="E307" s="13"/>
      <c r="F307" s="13"/>
      <c r="G307" s="153">
        <f>IF(AND(Sum!$F512="Yes",Sum!$G512="Fees",Sum!H$397=G$5),Sum!H512,0)</f>
        <v>0</v>
      </c>
      <c r="H307" s="13">
        <f>IF(AND(Sum!$F512="Yes",Sum!$G512="Fees",Sum!I$397=H$5),Sum!I512,0)</f>
        <v>0</v>
      </c>
      <c r="I307" s="13">
        <f>IF(AND(Sum!$F512="Yes",Sum!$G512="Fees",Sum!J$397=I$5),Sum!J512,0)</f>
        <v>0</v>
      </c>
      <c r="J307" s="13">
        <f>IF(AND(Sum!$F512="Yes",Sum!$G512="Fees",Sum!K$397=J$5),Sum!K512,0)</f>
        <v>0</v>
      </c>
      <c r="K307" s="13">
        <f>IF(AND(Sum!$F512="Yes",Sum!$G512="Fees",Sum!L$397=K$5),Sum!L512,0)</f>
        <v>0</v>
      </c>
      <c r="L307" s="13">
        <f>IF(AND(Sum!$F512="Yes",Sum!$G512="Fees",Sum!M$397=L$5),Sum!M512,0)</f>
        <v>0</v>
      </c>
      <c r="M307" s="13">
        <f>IF(AND(Sum!$F512="Yes",Sum!$G512="Fees",Sum!N$397=M$5),Sum!N512,0)</f>
        <v>0</v>
      </c>
      <c r="N307" s="13">
        <f>IF(AND(Sum!$F512="Yes",Sum!$G512="Fees",Sum!O$397=N$5),Sum!O512,0)</f>
        <v>0</v>
      </c>
      <c r="O307" s="13">
        <f>IF(AND(Sum!$F512="Yes",Sum!$G512="Fees",Sum!P$397=O$5),Sum!P512,0)</f>
        <v>0</v>
      </c>
      <c r="P307" s="13">
        <f>IF(AND(Sum!$F512="Yes",Sum!$G512="Fees",Sum!Q$397=P$5),Sum!Q512,0)</f>
        <v>0</v>
      </c>
      <c r="Q307" s="264" t="str">
        <f>IF(AND(Sum!$F512="Yes",Sum!$G512="Fees"),Sum!$E512,"")</f>
        <v/>
      </c>
    </row>
    <row r="308" spans="1:17" ht="12.75" customHeight="1" x14ac:dyDescent="0.25">
      <c r="A308" s="18"/>
      <c r="B308" s="306" t="str">
        <f>IF(AND(Sum!$F513="Yes",Sum!$G513="Fees"),Sum!$B513,"")</f>
        <v/>
      </c>
      <c r="C308" s="13"/>
      <c r="D308" s="13"/>
      <c r="E308" s="13"/>
      <c r="F308" s="13"/>
      <c r="G308" s="153">
        <f>IF(AND(Sum!$F513="Yes",Sum!$G513="Fees",Sum!H$397=G$5),Sum!H513,0)</f>
        <v>0</v>
      </c>
      <c r="H308" s="13">
        <f>IF(AND(Sum!$F513="Yes",Sum!$G513="Fees",Sum!I$397=H$5),Sum!I513,0)</f>
        <v>0</v>
      </c>
      <c r="I308" s="13">
        <f>IF(AND(Sum!$F513="Yes",Sum!$G513="Fees",Sum!J$397=I$5),Sum!J513,0)</f>
        <v>0</v>
      </c>
      <c r="J308" s="13">
        <f>IF(AND(Sum!$F513="Yes",Sum!$G513="Fees",Sum!K$397=J$5),Sum!K513,0)</f>
        <v>0</v>
      </c>
      <c r="K308" s="13">
        <f>IF(AND(Sum!$F513="Yes",Sum!$G513="Fees",Sum!L$397=K$5),Sum!L513,0)</f>
        <v>0</v>
      </c>
      <c r="L308" s="13">
        <f>IF(AND(Sum!$F513="Yes",Sum!$G513="Fees",Sum!M$397=L$5),Sum!M513,0)</f>
        <v>0</v>
      </c>
      <c r="M308" s="13">
        <f>IF(AND(Sum!$F513="Yes",Sum!$G513="Fees",Sum!N$397=M$5),Sum!N513,0)</f>
        <v>0</v>
      </c>
      <c r="N308" s="13">
        <f>IF(AND(Sum!$F513="Yes",Sum!$G513="Fees",Sum!O$397=N$5),Sum!O513,0)</f>
        <v>0</v>
      </c>
      <c r="O308" s="13">
        <f>IF(AND(Sum!$F513="Yes",Sum!$G513="Fees",Sum!P$397=O$5),Sum!P513,0)</f>
        <v>0</v>
      </c>
      <c r="P308" s="13">
        <f>IF(AND(Sum!$F513="Yes",Sum!$G513="Fees",Sum!Q$397=P$5),Sum!Q513,0)</f>
        <v>0</v>
      </c>
      <c r="Q308" s="264" t="str">
        <f>IF(AND(Sum!$F513="Yes",Sum!$G513="Fees"),Sum!$E513,"")</f>
        <v/>
      </c>
    </row>
    <row r="309" spans="1:17" ht="12.75" customHeight="1" x14ac:dyDescent="0.25">
      <c r="A309" s="18"/>
      <c r="B309" s="306" t="str">
        <f>IF(AND(Sum!$F514="Yes",Sum!$G514="Fees"),Sum!$B514,"")</f>
        <v/>
      </c>
      <c r="C309" s="13"/>
      <c r="D309" s="13"/>
      <c r="E309" s="13"/>
      <c r="F309" s="13"/>
      <c r="G309" s="153">
        <f>IF(AND(Sum!$F514="Yes",Sum!$G514="Fees",Sum!H$397=G$5),Sum!H514,0)</f>
        <v>0</v>
      </c>
      <c r="H309" s="13">
        <f>IF(AND(Sum!$F514="Yes",Sum!$G514="Fees",Sum!I$397=H$5),Sum!I514,0)</f>
        <v>0</v>
      </c>
      <c r="I309" s="13">
        <f>IF(AND(Sum!$F514="Yes",Sum!$G514="Fees",Sum!J$397=I$5),Sum!J514,0)</f>
        <v>0</v>
      </c>
      <c r="J309" s="13">
        <f>IF(AND(Sum!$F514="Yes",Sum!$G514="Fees",Sum!K$397=J$5),Sum!K514,0)</f>
        <v>0</v>
      </c>
      <c r="K309" s="13">
        <f>IF(AND(Sum!$F514="Yes",Sum!$G514="Fees",Sum!L$397=K$5),Sum!L514,0)</f>
        <v>0</v>
      </c>
      <c r="L309" s="13">
        <f>IF(AND(Sum!$F514="Yes",Sum!$G514="Fees",Sum!M$397=L$5),Sum!M514,0)</f>
        <v>0</v>
      </c>
      <c r="M309" s="13">
        <f>IF(AND(Sum!$F514="Yes",Sum!$G514="Fees",Sum!N$397=M$5),Sum!N514,0)</f>
        <v>0</v>
      </c>
      <c r="N309" s="13">
        <f>IF(AND(Sum!$F514="Yes",Sum!$G514="Fees",Sum!O$397=N$5),Sum!O514,0)</f>
        <v>0</v>
      </c>
      <c r="O309" s="13">
        <f>IF(AND(Sum!$F514="Yes",Sum!$G514="Fees",Sum!P$397=O$5),Sum!P514,0)</f>
        <v>0</v>
      </c>
      <c r="P309" s="13">
        <f>IF(AND(Sum!$F514="Yes",Sum!$G514="Fees",Sum!Q$397=P$5),Sum!Q514,0)</f>
        <v>0</v>
      </c>
      <c r="Q309" s="264" t="str">
        <f>IF(AND(Sum!$F514="Yes",Sum!$G514="Fees"),Sum!$E514,"")</f>
        <v/>
      </c>
    </row>
    <row r="310" spans="1:17" ht="12.75" customHeight="1" x14ac:dyDescent="0.25">
      <c r="A310" s="18"/>
      <c r="B310" s="306" t="str">
        <f>IF(AND(Sum!$F515="Yes",Sum!$G515="Fees"),Sum!$B515,"")</f>
        <v/>
      </c>
      <c r="C310" s="13"/>
      <c r="D310" s="13"/>
      <c r="E310" s="13"/>
      <c r="F310" s="13"/>
      <c r="G310" s="153">
        <f>IF(AND(Sum!$F515="Yes",Sum!$G515="Fees",Sum!H$397=G$5),Sum!H515,0)</f>
        <v>0</v>
      </c>
      <c r="H310" s="13">
        <f>IF(AND(Sum!$F515="Yes",Sum!$G515="Fees",Sum!I$397=H$5),Sum!I515,0)</f>
        <v>0</v>
      </c>
      <c r="I310" s="13">
        <f>IF(AND(Sum!$F515="Yes",Sum!$G515="Fees",Sum!J$397=I$5),Sum!J515,0)</f>
        <v>0</v>
      </c>
      <c r="J310" s="13">
        <f>IF(AND(Sum!$F515="Yes",Sum!$G515="Fees",Sum!K$397=J$5),Sum!K515,0)</f>
        <v>0</v>
      </c>
      <c r="K310" s="13">
        <f>IF(AND(Sum!$F515="Yes",Sum!$G515="Fees",Sum!L$397=K$5),Sum!L515,0)</f>
        <v>0</v>
      </c>
      <c r="L310" s="13">
        <f>IF(AND(Sum!$F515="Yes",Sum!$G515="Fees",Sum!M$397=L$5),Sum!M515,0)</f>
        <v>0</v>
      </c>
      <c r="M310" s="13">
        <f>IF(AND(Sum!$F515="Yes",Sum!$G515="Fees",Sum!N$397=M$5),Sum!N515,0)</f>
        <v>0</v>
      </c>
      <c r="N310" s="13">
        <f>IF(AND(Sum!$F515="Yes",Sum!$G515="Fees",Sum!O$397=N$5),Sum!O515,0)</f>
        <v>0</v>
      </c>
      <c r="O310" s="13">
        <f>IF(AND(Sum!$F515="Yes",Sum!$G515="Fees",Sum!P$397=O$5),Sum!P515,0)</f>
        <v>0</v>
      </c>
      <c r="P310" s="13">
        <f>IF(AND(Sum!$F515="Yes",Sum!$G515="Fees",Sum!Q$397=P$5),Sum!Q515,0)</f>
        <v>0</v>
      </c>
      <c r="Q310" s="264" t="str">
        <f>IF(AND(Sum!$F515="Yes",Sum!$G515="Fees"),Sum!$E515,"")</f>
        <v/>
      </c>
    </row>
    <row r="311" spans="1:17" ht="12.75" customHeight="1" x14ac:dyDescent="0.25">
      <c r="A311" s="18"/>
      <c r="B311" s="306" t="str">
        <f>IF(AND(Sum!$F516="Yes",Sum!$G516="Fees"),Sum!$B516,"")</f>
        <v/>
      </c>
      <c r="C311" s="13"/>
      <c r="D311" s="13"/>
      <c r="E311" s="13"/>
      <c r="F311" s="13"/>
      <c r="G311" s="153">
        <f>IF(AND(Sum!$F516="Yes",Sum!$G516="Fees",Sum!H$397=G$5),Sum!H516,0)</f>
        <v>0</v>
      </c>
      <c r="H311" s="13">
        <f>IF(AND(Sum!$F516="Yes",Sum!$G516="Fees",Sum!I$397=H$5),Sum!I516,0)</f>
        <v>0</v>
      </c>
      <c r="I311" s="13">
        <f>IF(AND(Sum!$F516="Yes",Sum!$G516="Fees",Sum!J$397=I$5),Sum!J516,0)</f>
        <v>0</v>
      </c>
      <c r="J311" s="13">
        <f>IF(AND(Sum!$F516="Yes",Sum!$G516="Fees",Sum!K$397=J$5),Sum!K516,0)</f>
        <v>0</v>
      </c>
      <c r="K311" s="13">
        <f>IF(AND(Sum!$F516="Yes",Sum!$G516="Fees",Sum!L$397=K$5),Sum!L516,0)</f>
        <v>0</v>
      </c>
      <c r="L311" s="13">
        <f>IF(AND(Sum!$F516="Yes",Sum!$G516="Fees",Sum!M$397=L$5),Sum!M516,0)</f>
        <v>0</v>
      </c>
      <c r="M311" s="13">
        <f>IF(AND(Sum!$F516="Yes",Sum!$G516="Fees",Sum!N$397=M$5),Sum!N516,0)</f>
        <v>0</v>
      </c>
      <c r="N311" s="13">
        <f>IF(AND(Sum!$F516="Yes",Sum!$G516="Fees",Sum!O$397=N$5),Sum!O516,0)</f>
        <v>0</v>
      </c>
      <c r="O311" s="13">
        <f>IF(AND(Sum!$F516="Yes",Sum!$G516="Fees",Sum!P$397=O$5),Sum!P516,0)</f>
        <v>0</v>
      </c>
      <c r="P311" s="13">
        <f>IF(AND(Sum!$F516="Yes",Sum!$G516="Fees",Sum!Q$397=P$5),Sum!Q516,0)</f>
        <v>0</v>
      </c>
      <c r="Q311" s="264" t="str">
        <f>IF(AND(Sum!$F516="Yes",Sum!$G516="Fees"),Sum!$E516,"")</f>
        <v/>
      </c>
    </row>
    <row r="312" spans="1:17" ht="12.75" customHeight="1" x14ac:dyDescent="0.25">
      <c r="A312" s="18"/>
      <c r="B312" s="306" t="str">
        <f>IF(AND(Sum!$F517="Yes",Sum!$G517="Fees"),Sum!$B517,"")</f>
        <v/>
      </c>
      <c r="C312" s="13"/>
      <c r="D312" s="13"/>
      <c r="E312" s="13"/>
      <c r="F312" s="13"/>
      <c r="G312" s="153">
        <f>IF(AND(Sum!$F517="Yes",Sum!$G517="Fees",Sum!H$397=G$5),Sum!H517,0)</f>
        <v>0</v>
      </c>
      <c r="H312" s="13">
        <f>IF(AND(Sum!$F517="Yes",Sum!$G517="Fees",Sum!I$397=H$5),Sum!I517,0)</f>
        <v>0</v>
      </c>
      <c r="I312" s="13">
        <f>IF(AND(Sum!$F517="Yes",Sum!$G517="Fees",Sum!J$397=I$5),Sum!J517,0)</f>
        <v>0</v>
      </c>
      <c r="J312" s="13">
        <f>IF(AND(Sum!$F517="Yes",Sum!$G517="Fees",Sum!K$397=J$5),Sum!K517,0)</f>
        <v>0</v>
      </c>
      <c r="K312" s="13">
        <f>IF(AND(Sum!$F517="Yes",Sum!$G517="Fees",Sum!L$397=K$5),Sum!L517,0)</f>
        <v>0</v>
      </c>
      <c r="L312" s="13">
        <f>IF(AND(Sum!$F517="Yes",Sum!$G517="Fees",Sum!M$397=L$5),Sum!M517,0)</f>
        <v>0</v>
      </c>
      <c r="M312" s="13">
        <f>IF(AND(Sum!$F517="Yes",Sum!$G517="Fees",Sum!N$397=M$5),Sum!N517,0)</f>
        <v>0</v>
      </c>
      <c r="N312" s="13">
        <f>IF(AND(Sum!$F517="Yes",Sum!$G517="Fees",Sum!O$397=N$5),Sum!O517,0)</f>
        <v>0</v>
      </c>
      <c r="O312" s="13">
        <f>IF(AND(Sum!$F517="Yes",Sum!$G517="Fees",Sum!P$397=O$5),Sum!P517,0)</f>
        <v>0</v>
      </c>
      <c r="P312" s="13">
        <f>IF(AND(Sum!$F517="Yes",Sum!$G517="Fees",Sum!Q$397=P$5),Sum!Q517,0)</f>
        <v>0</v>
      </c>
      <c r="Q312" s="264" t="str">
        <f>IF(AND(Sum!$F517="Yes",Sum!$G517="Fees"),Sum!$E517,"")</f>
        <v/>
      </c>
    </row>
    <row r="313" spans="1:17" ht="12.75" customHeight="1" x14ac:dyDescent="0.25">
      <c r="A313" s="18"/>
      <c r="B313" s="306" t="str">
        <f>IF(AND(Sum!$F518="Yes",Sum!$G518="Fees"),Sum!$B518,"")</f>
        <v/>
      </c>
      <c r="C313" s="13"/>
      <c r="D313" s="13"/>
      <c r="E313" s="13"/>
      <c r="F313" s="13"/>
      <c r="G313" s="153">
        <f>IF(AND(Sum!$F518="Yes",Sum!$G518="Fees",Sum!H$397=G$5),Sum!H518,0)</f>
        <v>0</v>
      </c>
      <c r="H313" s="13">
        <f>IF(AND(Sum!$F518="Yes",Sum!$G518="Fees",Sum!I$397=H$5),Sum!I518,0)</f>
        <v>0</v>
      </c>
      <c r="I313" s="13">
        <f>IF(AND(Sum!$F518="Yes",Sum!$G518="Fees",Sum!J$397=I$5),Sum!J518,0)</f>
        <v>0</v>
      </c>
      <c r="J313" s="13">
        <f>IF(AND(Sum!$F518="Yes",Sum!$G518="Fees",Sum!K$397=J$5),Sum!K518,0)</f>
        <v>0</v>
      </c>
      <c r="K313" s="13">
        <f>IF(AND(Sum!$F518="Yes",Sum!$G518="Fees",Sum!L$397=K$5),Sum!L518,0)</f>
        <v>0</v>
      </c>
      <c r="L313" s="13">
        <f>IF(AND(Sum!$F518="Yes",Sum!$G518="Fees",Sum!M$397=L$5),Sum!M518,0)</f>
        <v>0</v>
      </c>
      <c r="M313" s="13">
        <f>IF(AND(Sum!$F518="Yes",Sum!$G518="Fees",Sum!N$397=M$5),Sum!N518,0)</f>
        <v>0</v>
      </c>
      <c r="N313" s="13">
        <f>IF(AND(Sum!$F518="Yes",Sum!$G518="Fees",Sum!O$397=N$5),Sum!O518,0)</f>
        <v>0</v>
      </c>
      <c r="O313" s="13">
        <f>IF(AND(Sum!$F518="Yes",Sum!$G518="Fees",Sum!P$397=O$5),Sum!P518,0)</f>
        <v>0</v>
      </c>
      <c r="P313" s="13">
        <f>IF(AND(Sum!$F518="Yes",Sum!$G518="Fees",Sum!Q$397=P$5),Sum!Q518,0)</f>
        <v>0</v>
      </c>
      <c r="Q313" s="264" t="str">
        <f>IF(AND(Sum!$F518="Yes",Sum!$G518="Fees"),Sum!$E518,"")</f>
        <v/>
      </c>
    </row>
    <row r="314" spans="1:17" ht="12.75" customHeight="1" x14ac:dyDescent="0.25">
      <c r="A314" s="18"/>
      <c r="B314" s="306" t="str">
        <f>IF(AND(Sum!$F519="Yes",Sum!$G519="Fees"),Sum!$B519,"")</f>
        <v/>
      </c>
      <c r="C314" s="13"/>
      <c r="D314" s="13"/>
      <c r="E314" s="13"/>
      <c r="F314" s="13"/>
      <c r="G314" s="153">
        <f>IF(AND(Sum!$F519="Yes",Sum!$G519="Fees",Sum!H$397=G$5),Sum!H519,0)</f>
        <v>0</v>
      </c>
      <c r="H314" s="13">
        <f>IF(AND(Sum!$F519="Yes",Sum!$G519="Fees",Sum!I$397=H$5),Sum!I519,0)</f>
        <v>0</v>
      </c>
      <c r="I314" s="13">
        <f>IF(AND(Sum!$F519="Yes",Sum!$G519="Fees",Sum!J$397=I$5),Sum!J519,0)</f>
        <v>0</v>
      </c>
      <c r="J314" s="13">
        <f>IF(AND(Sum!$F519="Yes",Sum!$G519="Fees",Sum!K$397=J$5),Sum!K519,0)</f>
        <v>0</v>
      </c>
      <c r="K314" s="13">
        <f>IF(AND(Sum!$F519="Yes",Sum!$G519="Fees",Sum!L$397=K$5),Sum!L519,0)</f>
        <v>0</v>
      </c>
      <c r="L314" s="13">
        <f>IF(AND(Sum!$F519="Yes",Sum!$G519="Fees",Sum!M$397=L$5),Sum!M519,0)</f>
        <v>0</v>
      </c>
      <c r="M314" s="13">
        <f>IF(AND(Sum!$F519="Yes",Sum!$G519="Fees",Sum!N$397=M$5),Sum!N519,0)</f>
        <v>0</v>
      </c>
      <c r="N314" s="13">
        <f>IF(AND(Sum!$F519="Yes",Sum!$G519="Fees",Sum!O$397=N$5),Sum!O519,0)</f>
        <v>0</v>
      </c>
      <c r="O314" s="13">
        <f>IF(AND(Sum!$F519="Yes",Sum!$G519="Fees",Sum!P$397=O$5),Sum!P519,0)</f>
        <v>0</v>
      </c>
      <c r="P314" s="13">
        <f>IF(AND(Sum!$F519="Yes",Sum!$G519="Fees",Sum!Q$397=P$5),Sum!Q519,0)</f>
        <v>0</v>
      </c>
      <c r="Q314" s="264" t="str">
        <f>IF(AND(Sum!$F519="Yes",Sum!$G519="Fees"),Sum!$E519,"")</f>
        <v/>
      </c>
    </row>
    <row r="315" spans="1:17" ht="12.75" customHeight="1" x14ac:dyDescent="0.25">
      <c r="A315" s="18"/>
      <c r="B315" s="306" t="str">
        <f>IF(AND(Sum!$F520="Yes",Sum!$G520="Fees"),Sum!$B520,"")</f>
        <v/>
      </c>
      <c r="C315" s="13"/>
      <c r="D315" s="13"/>
      <c r="E315" s="13"/>
      <c r="F315" s="13"/>
      <c r="G315" s="153">
        <f>IF(AND(Sum!$F520="Yes",Sum!$G520="Fees",Sum!H$397=G$5),Sum!H520,0)</f>
        <v>0</v>
      </c>
      <c r="H315" s="13">
        <f>IF(AND(Sum!$F520="Yes",Sum!$G520="Fees",Sum!I$397=H$5),Sum!I520,0)</f>
        <v>0</v>
      </c>
      <c r="I315" s="13">
        <f>IF(AND(Sum!$F520="Yes",Sum!$G520="Fees",Sum!J$397=I$5),Sum!J520,0)</f>
        <v>0</v>
      </c>
      <c r="J315" s="13">
        <f>IF(AND(Sum!$F520="Yes",Sum!$G520="Fees",Sum!K$397=J$5),Sum!K520,0)</f>
        <v>0</v>
      </c>
      <c r="K315" s="13">
        <f>IF(AND(Sum!$F520="Yes",Sum!$G520="Fees",Sum!L$397=K$5),Sum!L520,0)</f>
        <v>0</v>
      </c>
      <c r="L315" s="13">
        <f>IF(AND(Sum!$F520="Yes",Sum!$G520="Fees",Sum!M$397=L$5),Sum!M520,0)</f>
        <v>0</v>
      </c>
      <c r="M315" s="13">
        <f>IF(AND(Sum!$F520="Yes",Sum!$G520="Fees",Sum!N$397=M$5),Sum!N520,0)</f>
        <v>0</v>
      </c>
      <c r="N315" s="13">
        <f>IF(AND(Sum!$F520="Yes",Sum!$G520="Fees",Sum!O$397=N$5),Sum!O520,0)</f>
        <v>0</v>
      </c>
      <c r="O315" s="13">
        <f>IF(AND(Sum!$F520="Yes",Sum!$G520="Fees",Sum!P$397=O$5),Sum!P520,0)</f>
        <v>0</v>
      </c>
      <c r="P315" s="13">
        <f>IF(AND(Sum!$F520="Yes",Sum!$G520="Fees",Sum!Q$397=P$5),Sum!Q520,0)</f>
        <v>0</v>
      </c>
      <c r="Q315" s="264" t="str">
        <f>IF(AND(Sum!$F520="Yes",Sum!$G520="Fees"),Sum!$E520,"")</f>
        <v/>
      </c>
    </row>
    <row r="316" spans="1:17" ht="12.75" customHeight="1" x14ac:dyDescent="0.25">
      <c r="A316" s="18"/>
      <c r="B316" s="306" t="str">
        <f>IF(AND(Sum!$F521="Yes",Sum!$G521="Fees"),Sum!$B521,"")</f>
        <v/>
      </c>
      <c r="C316" s="13"/>
      <c r="D316" s="13"/>
      <c r="E316" s="13"/>
      <c r="F316" s="13"/>
      <c r="G316" s="153">
        <f>IF(AND(Sum!$F521="Yes",Sum!$G521="Fees",Sum!H$397=G$5),Sum!H521,0)</f>
        <v>0</v>
      </c>
      <c r="H316" s="13">
        <f>IF(AND(Sum!$F521="Yes",Sum!$G521="Fees",Sum!I$397=H$5),Sum!I521,0)</f>
        <v>0</v>
      </c>
      <c r="I316" s="13">
        <f>IF(AND(Sum!$F521="Yes",Sum!$G521="Fees",Sum!J$397=I$5),Sum!J521,0)</f>
        <v>0</v>
      </c>
      <c r="J316" s="13">
        <f>IF(AND(Sum!$F521="Yes",Sum!$G521="Fees",Sum!K$397=J$5),Sum!K521,0)</f>
        <v>0</v>
      </c>
      <c r="K316" s="13">
        <f>IF(AND(Sum!$F521="Yes",Sum!$G521="Fees",Sum!L$397=K$5),Sum!L521,0)</f>
        <v>0</v>
      </c>
      <c r="L316" s="13">
        <f>IF(AND(Sum!$F521="Yes",Sum!$G521="Fees",Sum!M$397=L$5),Sum!M521,0)</f>
        <v>0</v>
      </c>
      <c r="M316" s="13">
        <f>IF(AND(Sum!$F521="Yes",Sum!$G521="Fees",Sum!N$397=M$5),Sum!N521,0)</f>
        <v>0</v>
      </c>
      <c r="N316" s="13">
        <f>IF(AND(Sum!$F521="Yes",Sum!$G521="Fees",Sum!O$397=N$5),Sum!O521,0)</f>
        <v>0</v>
      </c>
      <c r="O316" s="13">
        <f>IF(AND(Sum!$F521="Yes",Sum!$G521="Fees",Sum!P$397=O$5),Sum!P521,0)</f>
        <v>0</v>
      </c>
      <c r="P316" s="13">
        <f>IF(AND(Sum!$F521="Yes",Sum!$G521="Fees",Sum!Q$397=P$5),Sum!Q521,0)</f>
        <v>0</v>
      </c>
      <c r="Q316" s="264" t="str">
        <f>IF(AND(Sum!$F521="Yes",Sum!$G521="Fees"),Sum!$E521,"")</f>
        <v/>
      </c>
    </row>
    <row r="317" spans="1:17" ht="12.75" customHeight="1" x14ac:dyDescent="0.25">
      <c r="A317" s="18"/>
      <c r="B317" s="306" t="str">
        <f>IF(AND(Sum!$F522="Yes",Sum!$G522="Fees"),Sum!$B522,"")</f>
        <v/>
      </c>
      <c r="C317" s="13"/>
      <c r="D317" s="13"/>
      <c r="E317" s="13"/>
      <c r="F317" s="13"/>
      <c r="G317" s="153">
        <f>IF(AND(Sum!$F522="Yes",Sum!$G522="Fees",Sum!H$397=G$5),Sum!H522,0)</f>
        <v>0</v>
      </c>
      <c r="H317" s="13">
        <f>IF(AND(Sum!$F522="Yes",Sum!$G522="Fees",Sum!I$397=H$5),Sum!I522,0)</f>
        <v>0</v>
      </c>
      <c r="I317" s="13">
        <f>IF(AND(Sum!$F522="Yes",Sum!$G522="Fees",Sum!J$397=I$5),Sum!J522,0)</f>
        <v>0</v>
      </c>
      <c r="J317" s="13">
        <f>IF(AND(Sum!$F522="Yes",Sum!$G522="Fees",Sum!K$397=J$5),Sum!K522,0)</f>
        <v>0</v>
      </c>
      <c r="K317" s="13">
        <f>IF(AND(Sum!$F522="Yes",Sum!$G522="Fees",Sum!L$397=K$5),Sum!L522,0)</f>
        <v>0</v>
      </c>
      <c r="L317" s="13">
        <f>IF(AND(Sum!$F522="Yes",Sum!$G522="Fees",Sum!M$397=L$5),Sum!M522,0)</f>
        <v>0</v>
      </c>
      <c r="M317" s="13">
        <f>IF(AND(Sum!$F522="Yes",Sum!$G522="Fees",Sum!N$397=M$5),Sum!N522,0)</f>
        <v>0</v>
      </c>
      <c r="N317" s="13">
        <f>IF(AND(Sum!$F522="Yes",Sum!$G522="Fees",Sum!O$397=N$5),Sum!O522,0)</f>
        <v>0</v>
      </c>
      <c r="O317" s="13">
        <f>IF(AND(Sum!$F522="Yes",Sum!$G522="Fees",Sum!P$397=O$5),Sum!P522,0)</f>
        <v>0</v>
      </c>
      <c r="P317" s="13">
        <f>IF(AND(Sum!$F522="Yes",Sum!$G522="Fees",Sum!Q$397=P$5),Sum!Q522,0)</f>
        <v>0</v>
      </c>
      <c r="Q317" s="264" t="str">
        <f>IF(AND(Sum!$F522="Yes",Sum!$G522="Fees"),Sum!$E522,"")</f>
        <v/>
      </c>
    </row>
    <row r="318" spans="1:17" ht="12.75" customHeight="1" x14ac:dyDescent="0.25">
      <c r="A318" s="18"/>
      <c r="B318" s="306" t="str">
        <f>IF(AND(Sum!$F523="Yes",Sum!$G523="Fees"),Sum!$B523,"")</f>
        <v/>
      </c>
      <c r="C318" s="13"/>
      <c r="D318" s="13"/>
      <c r="E318" s="13"/>
      <c r="F318" s="13"/>
      <c r="G318" s="153">
        <f>IF(AND(Sum!$F523="Yes",Sum!$G523="Fees",Sum!H$397=G$5),Sum!H523,0)</f>
        <v>0</v>
      </c>
      <c r="H318" s="13">
        <f>IF(AND(Sum!$F523="Yes",Sum!$G523="Fees",Sum!I$397=H$5),Sum!I523,0)</f>
        <v>0</v>
      </c>
      <c r="I318" s="13">
        <f>IF(AND(Sum!$F523="Yes",Sum!$G523="Fees",Sum!J$397=I$5),Sum!J523,0)</f>
        <v>0</v>
      </c>
      <c r="J318" s="13">
        <f>IF(AND(Sum!$F523="Yes",Sum!$G523="Fees",Sum!K$397=J$5),Sum!K523,0)</f>
        <v>0</v>
      </c>
      <c r="K318" s="13">
        <f>IF(AND(Sum!$F523="Yes",Sum!$G523="Fees",Sum!L$397=K$5),Sum!L523,0)</f>
        <v>0</v>
      </c>
      <c r="L318" s="13">
        <f>IF(AND(Sum!$F523="Yes",Sum!$G523="Fees",Sum!M$397=L$5),Sum!M523,0)</f>
        <v>0</v>
      </c>
      <c r="M318" s="13">
        <f>IF(AND(Sum!$F523="Yes",Sum!$G523="Fees",Sum!N$397=M$5),Sum!N523,0)</f>
        <v>0</v>
      </c>
      <c r="N318" s="13">
        <f>IF(AND(Sum!$F523="Yes",Sum!$G523="Fees",Sum!O$397=N$5),Sum!O523,0)</f>
        <v>0</v>
      </c>
      <c r="O318" s="13">
        <f>IF(AND(Sum!$F523="Yes",Sum!$G523="Fees",Sum!P$397=O$5),Sum!P523,0)</f>
        <v>0</v>
      </c>
      <c r="P318" s="13">
        <f>IF(AND(Sum!$F523="Yes",Sum!$G523="Fees",Sum!Q$397=P$5),Sum!Q523,0)</f>
        <v>0</v>
      </c>
      <c r="Q318" s="264" t="str">
        <f>IF(AND(Sum!$F523="Yes",Sum!$G523="Fees"),Sum!$E523,"")</f>
        <v/>
      </c>
    </row>
    <row r="319" spans="1:17" ht="12.75" customHeight="1" x14ac:dyDescent="0.25">
      <c r="A319" s="18"/>
      <c r="B319" s="306" t="str">
        <f>IF(AND(Sum!$F524="Yes",Sum!$G524="Fees"),Sum!$B524,"")</f>
        <v/>
      </c>
      <c r="C319" s="13"/>
      <c r="D319" s="13"/>
      <c r="E319" s="13"/>
      <c r="F319" s="13"/>
      <c r="G319" s="153">
        <f>IF(AND(Sum!$F524="Yes",Sum!$G524="Fees",Sum!H$397=G$5),Sum!H524,0)</f>
        <v>0</v>
      </c>
      <c r="H319" s="13">
        <f>IF(AND(Sum!$F524="Yes",Sum!$G524="Fees",Sum!I$397=H$5),Sum!I524,0)</f>
        <v>0</v>
      </c>
      <c r="I319" s="13">
        <f>IF(AND(Sum!$F524="Yes",Sum!$G524="Fees",Sum!J$397=I$5),Sum!J524,0)</f>
        <v>0</v>
      </c>
      <c r="J319" s="13">
        <f>IF(AND(Sum!$F524="Yes",Sum!$G524="Fees",Sum!K$397=J$5),Sum!K524,0)</f>
        <v>0</v>
      </c>
      <c r="K319" s="13">
        <f>IF(AND(Sum!$F524="Yes",Sum!$G524="Fees",Sum!L$397=K$5),Sum!L524,0)</f>
        <v>0</v>
      </c>
      <c r="L319" s="13">
        <f>IF(AND(Sum!$F524="Yes",Sum!$G524="Fees",Sum!M$397=L$5),Sum!M524,0)</f>
        <v>0</v>
      </c>
      <c r="M319" s="13">
        <f>IF(AND(Sum!$F524="Yes",Sum!$G524="Fees",Sum!N$397=M$5),Sum!N524,0)</f>
        <v>0</v>
      </c>
      <c r="N319" s="13">
        <f>IF(AND(Sum!$F524="Yes",Sum!$G524="Fees",Sum!O$397=N$5),Sum!O524,0)</f>
        <v>0</v>
      </c>
      <c r="O319" s="13">
        <f>IF(AND(Sum!$F524="Yes",Sum!$G524="Fees",Sum!P$397=O$5),Sum!P524,0)</f>
        <v>0</v>
      </c>
      <c r="P319" s="13">
        <f>IF(AND(Sum!$F524="Yes",Sum!$G524="Fees",Sum!Q$397=P$5),Sum!Q524,0)</f>
        <v>0</v>
      </c>
      <c r="Q319" s="264" t="str">
        <f>IF(AND(Sum!$F524="Yes",Sum!$G524="Fees"),Sum!$E524,"")</f>
        <v/>
      </c>
    </row>
    <row r="320" spans="1:17" ht="12.75" customHeight="1" x14ac:dyDescent="0.25">
      <c r="A320" s="18"/>
      <c r="B320" s="306" t="str">
        <f>IF(AND(Sum!$F525="Yes",Sum!$G525="Fees"),Sum!$B525,"")</f>
        <v/>
      </c>
      <c r="C320" s="13"/>
      <c r="D320" s="13"/>
      <c r="E320" s="13"/>
      <c r="F320" s="13"/>
      <c r="G320" s="153">
        <f>IF(AND(Sum!$F525="Yes",Sum!$G525="Fees",Sum!H$397=G$5),Sum!H525,0)</f>
        <v>0</v>
      </c>
      <c r="H320" s="13">
        <f>IF(AND(Sum!$F525="Yes",Sum!$G525="Fees",Sum!I$397=H$5),Sum!I525,0)</f>
        <v>0</v>
      </c>
      <c r="I320" s="13">
        <f>IF(AND(Sum!$F525="Yes",Sum!$G525="Fees",Sum!J$397=I$5),Sum!J525,0)</f>
        <v>0</v>
      </c>
      <c r="J320" s="13">
        <f>IF(AND(Sum!$F525="Yes",Sum!$G525="Fees",Sum!K$397=J$5),Sum!K525,0)</f>
        <v>0</v>
      </c>
      <c r="K320" s="13">
        <f>IF(AND(Sum!$F525="Yes",Sum!$G525="Fees",Sum!L$397=K$5),Sum!L525,0)</f>
        <v>0</v>
      </c>
      <c r="L320" s="13">
        <f>IF(AND(Sum!$F525="Yes",Sum!$G525="Fees",Sum!M$397=L$5),Sum!M525,0)</f>
        <v>0</v>
      </c>
      <c r="M320" s="13">
        <f>IF(AND(Sum!$F525="Yes",Sum!$G525="Fees",Sum!N$397=M$5),Sum!N525,0)</f>
        <v>0</v>
      </c>
      <c r="N320" s="13">
        <f>IF(AND(Sum!$F525="Yes",Sum!$G525="Fees",Sum!O$397=N$5),Sum!O525,0)</f>
        <v>0</v>
      </c>
      <c r="O320" s="13">
        <f>IF(AND(Sum!$F525="Yes",Sum!$G525="Fees",Sum!P$397=O$5),Sum!P525,0)</f>
        <v>0</v>
      </c>
      <c r="P320" s="13">
        <f>IF(AND(Sum!$F525="Yes",Sum!$G525="Fees",Sum!Q$397=P$5),Sum!Q525,0)</f>
        <v>0</v>
      </c>
      <c r="Q320" s="264" t="str">
        <f>IF(AND(Sum!$F525="Yes",Sum!$G525="Fees"),Sum!$E525,"")</f>
        <v/>
      </c>
    </row>
    <row r="321" spans="1:17" ht="12.75" customHeight="1" x14ac:dyDescent="0.25">
      <c r="A321" s="18"/>
      <c r="B321" s="306" t="str">
        <f>IF(AND(Sum!$F526="Yes",Sum!$G526="Fees"),Sum!$B526,"")</f>
        <v/>
      </c>
      <c r="C321" s="13"/>
      <c r="D321" s="13"/>
      <c r="E321" s="13"/>
      <c r="F321" s="13"/>
      <c r="G321" s="153">
        <f>IF(AND(Sum!$F526="Yes",Sum!$G526="Fees",Sum!H$397=G$5),Sum!H526,0)</f>
        <v>0</v>
      </c>
      <c r="H321" s="13">
        <f>IF(AND(Sum!$F526="Yes",Sum!$G526="Fees",Sum!I$397=H$5),Sum!I526,0)</f>
        <v>0</v>
      </c>
      <c r="I321" s="13">
        <f>IF(AND(Sum!$F526="Yes",Sum!$G526="Fees",Sum!J$397=I$5),Sum!J526,0)</f>
        <v>0</v>
      </c>
      <c r="J321" s="13">
        <f>IF(AND(Sum!$F526="Yes",Sum!$G526="Fees",Sum!K$397=J$5),Sum!K526,0)</f>
        <v>0</v>
      </c>
      <c r="K321" s="13">
        <f>IF(AND(Sum!$F526="Yes",Sum!$G526="Fees",Sum!L$397=K$5),Sum!L526,0)</f>
        <v>0</v>
      </c>
      <c r="L321" s="13">
        <f>IF(AND(Sum!$F526="Yes",Sum!$G526="Fees",Sum!M$397=L$5),Sum!M526,0)</f>
        <v>0</v>
      </c>
      <c r="M321" s="13">
        <f>IF(AND(Sum!$F526="Yes",Sum!$G526="Fees",Sum!N$397=M$5),Sum!N526,0)</f>
        <v>0</v>
      </c>
      <c r="N321" s="13">
        <f>IF(AND(Sum!$F526="Yes",Sum!$G526="Fees",Sum!O$397=N$5),Sum!O526,0)</f>
        <v>0</v>
      </c>
      <c r="O321" s="13">
        <f>IF(AND(Sum!$F526="Yes",Sum!$G526="Fees",Sum!P$397=O$5),Sum!P526,0)</f>
        <v>0</v>
      </c>
      <c r="P321" s="13">
        <f>IF(AND(Sum!$F526="Yes",Sum!$G526="Fees",Sum!Q$397=P$5),Sum!Q526,0)</f>
        <v>0</v>
      </c>
      <c r="Q321" s="264" t="str">
        <f>IF(AND(Sum!$F526="Yes",Sum!$G526="Fees"),Sum!$E526,"")</f>
        <v/>
      </c>
    </row>
    <row r="322" spans="1:17" ht="12.75" customHeight="1" x14ac:dyDescent="0.25">
      <c r="A322" s="18"/>
      <c r="B322" s="306" t="str">
        <f>IF(AND(Sum!$F527="Yes",Sum!$G527="Fees"),Sum!$B527,"")</f>
        <v/>
      </c>
      <c r="C322" s="13"/>
      <c r="D322" s="13"/>
      <c r="E322" s="13"/>
      <c r="F322" s="13"/>
      <c r="G322" s="153">
        <f>IF(AND(Sum!$F527="Yes",Sum!$G527="Fees",Sum!H$397=G$5),Sum!H527,0)</f>
        <v>0</v>
      </c>
      <c r="H322" s="13">
        <f>IF(AND(Sum!$F527="Yes",Sum!$G527="Fees",Sum!I$397=H$5),Sum!I527,0)</f>
        <v>0</v>
      </c>
      <c r="I322" s="13">
        <f>IF(AND(Sum!$F527="Yes",Sum!$G527="Fees",Sum!J$397=I$5),Sum!J527,0)</f>
        <v>0</v>
      </c>
      <c r="J322" s="13">
        <f>IF(AND(Sum!$F527="Yes",Sum!$G527="Fees",Sum!K$397=J$5),Sum!K527,0)</f>
        <v>0</v>
      </c>
      <c r="K322" s="13">
        <f>IF(AND(Sum!$F527="Yes",Sum!$G527="Fees",Sum!L$397=K$5),Sum!L527,0)</f>
        <v>0</v>
      </c>
      <c r="L322" s="13">
        <f>IF(AND(Sum!$F527="Yes",Sum!$G527="Fees",Sum!M$397=L$5),Sum!M527,0)</f>
        <v>0</v>
      </c>
      <c r="M322" s="13">
        <f>IF(AND(Sum!$F527="Yes",Sum!$G527="Fees",Sum!N$397=M$5),Sum!N527,0)</f>
        <v>0</v>
      </c>
      <c r="N322" s="13">
        <f>IF(AND(Sum!$F527="Yes",Sum!$G527="Fees",Sum!O$397=N$5),Sum!O527,0)</f>
        <v>0</v>
      </c>
      <c r="O322" s="13">
        <f>IF(AND(Sum!$F527="Yes",Sum!$G527="Fees",Sum!P$397=O$5),Sum!P527,0)</f>
        <v>0</v>
      </c>
      <c r="P322" s="13">
        <f>IF(AND(Sum!$F527="Yes",Sum!$G527="Fees",Sum!Q$397=P$5),Sum!Q527,0)</f>
        <v>0</v>
      </c>
      <c r="Q322" s="264" t="str">
        <f>IF(AND(Sum!$F527="Yes",Sum!$G527="Fees"),Sum!$E527,"")</f>
        <v/>
      </c>
    </row>
    <row r="323" spans="1:17" ht="12.75" customHeight="1" x14ac:dyDescent="0.25">
      <c r="A323" s="18"/>
      <c r="B323" s="306" t="str">
        <f>IF(AND(Sum!$F528="Yes",Sum!$G528="Fees"),Sum!$B528,"")</f>
        <v/>
      </c>
      <c r="C323" s="13"/>
      <c r="D323" s="13"/>
      <c r="E323" s="13"/>
      <c r="F323" s="13"/>
      <c r="G323" s="153">
        <f>IF(AND(Sum!$F528="Yes",Sum!$G528="Fees",Sum!H$397=G$5),Sum!H528,0)</f>
        <v>0</v>
      </c>
      <c r="H323" s="13">
        <f>IF(AND(Sum!$F528="Yes",Sum!$G528="Fees",Sum!I$397=H$5),Sum!I528,0)</f>
        <v>0</v>
      </c>
      <c r="I323" s="13">
        <f>IF(AND(Sum!$F528="Yes",Sum!$G528="Fees",Sum!J$397=I$5),Sum!J528,0)</f>
        <v>0</v>
      </c>
      <c r="J323" s="13">
        <f>IF(AND(Sum!$F528="Yes",Sum!$G528="Fees",Sum!K$397=J$5),Sum!K528,0)</f>
        <v>0</v>
      </c>
      <c r="K323" s="13">
        <f>IF(AND(Sum!$F528="Yes",Sum!$G528="Fees",Sum!L$397=K$5),Sum!L528,0)</f>
        <v>0</v>
      </c>
      <c r="L323" s="13">
        <f>IF(AND(Sum!$F528="Yes",Sum!$G528="Fees",Sum!M$397=L$5),Sum!M528,0)</f>
        <v>0</v>
      </c>
      <c r="M323" s="13">
        <f>IF(AND(Sum!$F528="Yes",Sum!$G528="Fees",Sum!N$397=M$5),Sum!N528,0)</f>
        <v>0</v>
      </c>
      <c r="N323" s="13">
        <f>IF(AND(Sum!$F528="Yes",Sum!$G528="Fees",Sum!O$397=N$5),Sum!O528,0)</f>
        <v>0</v>
      </c>
      <c r="O323" s="13">
        <f>IF(AND(Sum!$F528="Yes",Sum!$G528="Fees",Sum!P$397=O$5),Sum!P528,0)</f>
        <v>0</v>
      </c>
      <c r="P323" s="13">
        <f>IF(AND(Sum!$F528="Yes",Sum!$G528="Fees",Sum!Q$397=P$5),Sum!Q528,0)</f>
        <v>0</v>
      </c>
      <c r="Q323" s="264" t="str">
        <f>IF(AND(Sum!$F528="Yes",Sum!$G528="Fees"),Sum!$E528,"")</f>
        <v/>
      </c>
    </row>
    <row r="324" spans="1:17" ht="12.75" customHeight="1" x14ac:dyDescent="0.25">
      <c r="A324" s="18"/>
      <c r="B324" s="306" t="str">
        <f>IF(AND(Sum!$F529="Yes",Sum!$G529="Fees"),Sum!$B529,"")</f>
        <v/>
      </c>
      <c r="C324" s="13"/>
      <c r="D324" s="13"/>
      <c r="E324" s="13"/>
      <c r="F324" s="13"/>
      <c r="G324" s="153">
        <f>IF(AND(Sum!$F529="Yes",Sum!$G529="Fees",Sum!H$397=G$5),Sum!H529,0)</f>
        <v>0</v>
      </c>
      <c r="H324" s="13">
        <f>IF(AND(Sum!$F529="Yes",Sum!$G529="Fees",Sum!I$397=H$5),Sum!I529,0)</f>
        <v>0</v>
      </c>
      <c r="I324" s="13">
        <f>IF(AND(Sum!$F529="Yes",Sum!$G529="Fees",Sum!J$397=I$5),Sum!J529,0)</f>
        <v>0</v>
      </c>
      <c r="J324" s="13">
        <f>IF(AND(Sum!$F529="Yes",Sum!$G529="Fees",Sum!K$397=J$5),Sum!K529,0)</f>
        <v>0</v>
      </c>
      <c r="K324" s="13">
        <f>IF(AND(Sum!$F529="Yes",Sum!$G529="Fees",Sum!L$397=K$5),Sum!L529,0)</f>
        <v>0</v>
      </c>
      <c r="L324" s="13">
        <f>IF(AND(Sum!$F529="Yes",Sum!$G529="Fees",Sum!M$397=L$5),Sum!M529,0)</f>
        <v>0</v>
      </c>
      <c r="M324" s="13">
        <f>IF(AND(Sum!$F529="Yes",Sum!$G529="Fees",Sum!N$397=M$5),Sum!N529,0)</f>
        <v>0</v>
      </c>
      <c r="N324" s="13">
        <f>IF(AND(Sum!$F529="Yes",Sum!$G529="Fees",Sum!O$397=N$5),Sum!O529,0)</f>
        <v>0</v>
      </c>
      <c r="O324" s="13">
        <f>IF(AND(Sum!$F529="Yes",Sum!$G529="Fees",Sum!P$397=O$5),Sum!P529,0)</f>
        <v>0</v>
      </c>
      <c r="P324" s="13">
        <f>IF(AND(Sum!$F529="Yes",Sum!$G529="Fees",Sum!Q$397=P$5),Sum!Q529,0)</f>
        <v>0</v>
      </c>
      <c r="Q324" s="264" t="str">
        <f>IF(AND(Sum!$F529="Yes",Sum!$G529="Fees"),Sum!$E529,"")</f>
        <v/>
      </c>
    </row>
    <row r="325" spans="1:17" ht="12.75" customHeight="1" x14ac:dyDescent="0.25">
      <c r="A325" s="18"/>
      <c r="B325" s="306" t="str">
        <f>IF(AND(Sum!$F530="Yes",Sum!$G530="Fees"),Sum!$B530,"")</f>
        <v/>
      </c>
      <c r="C325" s="13"/>
      <c r="D325" s="13"/>
      <c r="E325" s="13"/>
      <c r="F325" s="13"/>
      <c r="G325" s="153">
        <f>IF(AND(Sum!$F530="Yes",Sum!$G530="Fees",Sum!H$397=G$5),Sum!H530,0)</f>
        <v>0</v>
      </c>
      <c r="H325" s="13">
        <f>IF(AND(Sum!$F530="Yes",Sum!$G530="Fees",Sum!I$397=H$5),Sum!I530,0)</f>
        <v>0</v>
      </c>
      <c r="I325" s="13">
        <f>IF(AND(Sum!$F530="Yes",Sum!$G530="Fees",Sum!J$397=I$5),Sum!J530,0)</f>
        <v>0</v>
      </c>
      <c r="J325" s="13">
        <f>IF(AND(Sum!$F530="Yes",Sum!$G530="Fees",Sum!K$397=J$5),Sum!K530,0)</f>
        <v>0</v>
      </c>
      <c r="K325" s="13">
        <f>IF(AND(Sum!$F530="Yes",Sum!$G530="Fees",Sum!L$397=K$5),Sum!L530,0)</f>
        <v>0</v>
      </c>
      <c r="L325" s="13">
        <f>IF(AND(Sum!$F530="Yes",Sum!$G530="Fees",Sum!M$397=L$5),Sum!M530,0)</f>
        <v>0</v>
      </c>
      <c r="M325" s="13">
        <f>IF(AND(Sum!$F530="Yes",Sum!$G530="Fees",Sum!N$397=M$5),Sum!N530,0)</f>
        <v>0</v>
      </c>
      <c r="N325" s="13">
        <f>IF(AND(Sum!$F530="Yes",Sum!$G530="Fees",Sum!O$397=N$5),Sum!O530,0)</f>
        <v>0</v>
      </c>
      <c r="O325" s="13">
        <f>IF(AND(Sum!$F530="Yes",Sum!$G530="Fees",Sum!P$397=O$5),Sum!P530,0)</f>
        <v>0</v>
      </c>
      <c r="P325" s="13">
        <f>IF(AND(Sum!$F530="Yes",Sum!$G530="Fees",Sum!Q$397=P$5),Sum!Q530,0)</f>
        <v>0</v>
      </c>
      <c r="Q325" s="264" t="str">
        <f>IF(AND(Sum!$F530="Yes",Sum!$G530="Fees"),Sum!$E530,"")</f>
        <v/>
      </c>
    </row>
    <row r="326" spans="1:17" ht="12.75" customHeight="1" x14ac:dyDescent="0.25">
      <c r="A326" s="18"/>
      <c r="B326" s="306" t="str">
        <f>IF(AND(Sum!$F531="Yes",Sum!$G531="Fees"),Sum!$B531,"")</f>
        <v/>
      </c>
      <c r="C326" s="13"/>
      <c r="D326" s="13"/>
      <c r="E326" s="13"/>
      <c r="F326" s="13"/>
      <c r="G326" s="153">
        <f>IF(AND(Sum!$F531="Yes",Sum!$G531="Fees",Sum!H$397=G$5),Sum!H531,0)</f>
        <v>0</v>
      </c>
      <c r="H326" s="13">
        <f>IF(AND(Sum!$F531="Yes",Sum!$G531="Fees",Sum!I$397=H$5),Sum!I531,0)</f>
        <v>0</v>
      </c>
      <c r="I326" s="13">
        <f>IF(AND(Sum!$F531="Yes",Sum!$G531="Fees",Sum!J$397=I$5),Sum!J531,0)</f>
        <v>0</v>
      </c>
      <c r="J326" s="13">
        <f>IF(AND(Sum!$F531="Yes",Sum!$G531="Fees",Sum!K$397=J$5),Sum!K531,0)</f>
        <v>0</v>
      </c>
      <c r="K326" s="13">
        <f>IF(AND(Sum!$F531="Yes",Sum!$G531="Fees",Sum!L$397=K$5),Sum!L531,0)</f>
        <v>0</v>
      </c>
      <c r="L326" s="13">
        <f>IF(AND(Sum!$F531="Yes",Sum!$G531="Fees",Sum!M$397=L$5),Sum!M531,0)</f>
        <v>0</v>
      </c>
      <c r="M326" s="13">
        <f>IF(AND(Sum!$F531="Yes",Sum!$G531="Fees",Sum!N$397=M$5),Sum!N531,0)</f>
        <v>0</v>
      </c>
      <c r="N326" s="13">
        <f>IF(AND(Sum!$F531="Yes",Sum!$G531="Fees",Sum!O$397=N$5),Sum!O531,0)</f>
        <v>0</v>
      </c>
      <c r="O326" s="13">
        <f>IF(AND(Sum!$F531="Yes",Sum!$G531="Fees",Sum!P$397=O$5),Sum!P531,0)</f>
        <v>0</v>
      </c>
      <c r="P326" s="13">
        <f>IF(AND(Sum!$F531="Yes",Sum!$G531="Fees",Sum!Q$397=P$5),Sum!Q531,0)</f>
        <v>0</v>
      </c>
      <c r="Q326" s="264" t="str">
        <f>IF(AND(Sum!$F531="Yes",Sum!$G531="Fees"),Sum!$E531,"")</f>
        <v/>
      </c>
    </row>
    <row r="327" spans="1:17" ht="12.75" customHeight="1" x14ac:dyDescent="0.25">
      <c r="A327" s="18"/>
      <c r="B327" s="306" t="str">
        <f>IF(AND(Sum!$F532="Yes",Sum!$G532="Fees"),Sum!$B532,"")</f>
        <v/>
      </c>
      <c r="C327" s="13"/>
      <c r="D327" s="13"/>
      <c r="E327" s="13"/>
      <c r="F327" s="13"/>
      <c r="G327" s="153">
        <f>IF(AND(Sum!$F532="Yes",Sum!$G532="Fees",Sum!H$397=G$5),Sum!H532,0)</f>
        <v>0</v>
      </c>
      <c r="H327" s="13">
        <f>IF(AND(Sum!$F532="Yes",Sum!$G532="Fees",Sum!I$397=H$5),Sum!I532,0)</f>
        <v>0</v>
      </c>
      <c r="I327" s="13">
        <f>IF(AND(Sum!$F532="Yes",Sum!$G532="Fees",Sum!J$397=I$5),Sum!J532,0)</f>
        <v>0</v>
      </c>
      <c r="J327" s="13">
        <f>IF(AND(Sum!$F532="Yes",Sum!$G532="Fees",Sum!K$397=J$5),Sum!K532,0)</f>
        <v>0</v>
      </c>
      <c r="K327" s="13">
        <f>IF(AND(Sum!$F532="Yes",Sum!$G532="Fees",Sum!L$397=K$5),Sum!L532,0)</f>
        <v>0</v>
      </c>
      <c r="L327" s="13">
        <f>IF(AND(Sum!$F532="Yes",Sum!$G532="Fees",Sum!M$397=L$5),Sum!M532,0)</f>
        <v>0</v>
      </c>
      <c r="M327" s="13">
        <f>IF(AND(Sum!$F532="Yes",Sum!$G532="Fees",Sum!N$397=M$5),Sum!N532,0)</f>
        <v>0</v>
      </c>
      <c r="N327" s="13">
        <f>IF(AND(Sum!$F532="Yes",Sum!$G532="Fees",Sum!O$397=N$5),Sum!O532,0)</f>
        <v>0</v>
      </c>
      <c r="O327" s="13">
        <f>IF(AND(Sum!$F532="Yes",Sum!$G532="Fees",Sum!P$397=O$5),Sum!P532,0)</f>
        <v>0</v>
      </c>
      <c r="P327" s="13">
        <f>IF(AND(Sum!$F532="Yes",Sum!$G532="Fees",Sum!Q$397=P$5),Sum!Q532,0)</f>
        <v>0</v>
      </c>
      <c r="Q327" s="264" t="str">
        <f>IF(AND(Sum!$F532="Yes",Sum!$G532="Fees"),Sum!$E532,"")</f>
        <v/>
      </c>
    </row>
    <row r="328" spans="1:17" ht="12.75" customHeight="1" x14ac:dyDescent="0.25">
      <c r="A328" s="18"/>
      <c r="B328" s="306" t="str">
        <f>IF(AND(Sum!$F533="Yes",Sum!$G533="Fees"),Sum!$B533,"")</f>
        <v/>
      </c>
      <c r="C328" s="13"/>
      <c r="D328" s="13"/>
      <c r="E328" s="13"/>
      <c r="F328" s="13"/>
      <c r="G328" s="153">
        <f>IF(AND(Sum!$F533="Yes",Sum!$G533="Fees",Sum!H$397=G$5),Sum!H533,0)</f>
        <v>0</v>
      </c>
      <c r="H328" s="13">
        <f>IF(AND(Sum!$F533="Yes",Sum!$G533="Fees",Sum!I$397=H$5),Sum!I533,0)</f>
        <v>0</v>
      </c>
      <c r="I328" s="13">
        <f>IF(AND(Sum!$F533="Yes",Sum!$G533="Fees",Sum!J$397=I$5),Sum!J533,0)</f>
        <v>0</v>
      </c>
      <c r="J328" s="13">
        <f>IF(AND(Sum!$F533="Yes",Sum!$G533="Fees",Sum!K$397=J$5),Sum!K533,0)</f>
        <v>0</v>
      </c>
      <c r="K328" s="13">
        <f>IF(AND(Sum!$F533="Yes",Sum!$G533="Fees",Sum!L$397=K$5),Sum!L533,0)</f>
        <v>0</v>
      </c>
      <c r="L328" s="13">
        <f>IF(AND(Sum!$F533="Yes",Sum!$G533="Fees",Sum!M$397=L$5),Sum!M533,0)</f>
        <v>0</v>
      </c>
      <c r="M328" s="13">
        <f>IF(AND(Sum!$F533="Yes",Sum!$G533="Fees",Sum!N$397=M$5),Sum!N533,0)</f>
        <v>0</v>
      </c>
      <c r="N328" s="13">
        <f>IF(AND(Sum!$F533="Yes",Sum!$G533="Fees",Sum!O$397=N$5),Sum!O533,0)</f>
        <v>0</v>
      </c>
      <c r="O328" s="13">
        <f>IF(AND(Sum!$F533="Yes",Sum!$G533="Fees",Sum!P$397=O$5),Sum!P533,0)</f>
        <v>0</v>
      </c>
      <c r="P328" s="13">
        <f>IF(AND(Sum!$F533="Yes",Sum!$G533="Fees",Sum!Q$397=P$5),Sum!Q533,0)</f>
        <v>0</v>
      </c>
      <c r="Q328" s="264" t="str">
        <f>IF(AND(Sum!$F533="Yes",Sum!$G533="Fees"),Sum!$E533,"")</f>
        <v/>
      </c>
    </row>
    <row r="329" spans="1:17" ht="12.75" customHeight="1" x14ac:dyDescent="0.25">
      <c r="A329" s="18"/>
      <c r="B329" s="306" t="str">
        <f>IF(AND(Sum!$F534="Yes",Sum!$G534="Fees"),Sum!$B534,"")</f>
        <v/>
      </c>
      <c r="C329" s="13"/>
      <c r="D329" s="13"/>
      <c r="E329" s="13"/>
      <c r="F329" s="13"/>
      <c r="G329" s="153">
        <f>IF(AND(Sum!$F534="Yes",Sum!$G534="Fees",Sum!H$397=G$5),Sum!H534,0)</f>
        <v>0</v>
      </c>
      <c r="H329" s="13">
        <f>IF(AND(Sum!$F534="Yes",Sum!$G534="Fees",Sum!I$397=H$5),Sum!I534,0)</f>
        <v>0</v>
      </c>
      <c r="I329" s="13">
        <f>IF(AND(Sum!$F534="Yes",Sum!$G534="Fees",Sum!J$397=I$5),Sum!J534,0)</f>
        <v>0</v>
      </c>
      <c r="J329" s="13">
        <f>IF(AND(Sum!$F534="Yes",Sum!$G534="Fees",Sum!K$397=J$5),Sum!K534,0)</f>
        <v>0</v>
      </c>
      <c r="K329" s="13">
        <f>IF(AND(Sum!$F534="Yes",Sum!$G534="Fees",Sum!L$397=K$5),Sum!L534,0)</f>
        <v>0</v>
      </c>
      <c r="L329" s="13">
        <f>IF(AND(Sum!$F534="Yes",Sum!$G534="Fees",Sum!M$397=L$5),Sum!M534,0)</f>
        <v>0</v>
      </c>
      <c r="M329" s="13">
        <f>IF(AND(Sum!$F534="Yes",Sum!$G534="Fees",Sum!N$397=M$5),Sum!N534,0)</f>
        <v>0</v>
      </c>
      <c r="N329" s="13">
        <f>IF(AND(Sum!$F534="Yes",Sum!$G534="Fees",Sum!O$397=N$5),Sum!O534,0)</f>
        <v>0</v>
      </c>
      <c r="O329" s="13">
        <f>IF(AND(Sum!$F534="Yes",Sum!$G534="Fees",Sum!P$397=O$5),Sum!P534,0)</f>
        <v>0</v>
      </c>
      <c r="P329" s="13">
        <f>IF(AND(Sum!$F534="Yes",Sum!$G534="Fees",Sum!Q$397=P$5),Sum!Q534,0)</f>
        <v>0</v>
      </c>
      <c r="Q329" s="264" t="str">
        <f>IF(AND(Sum!$F534="Yes",Sum!$G534="Fees"),Sum!$E534,"")</f>
        <v/>
      </c>
    </row>
    <row r="330" spans="1:17" ht="12.75" customHeight="1" x14ac:dyDescent="0.25">
      <c r="A330" s="18"/>
      <c r="B330" s="306" t="str">
        <f>IF(AND(Sum!$F535="Yes",Sum!$G535="Fees"),Sum!$B535,"")</f>
        <v/>
      </c>
      <c r="C330" s="13"/>
      <c r="D330" s="13"/>
      <c r="E330" s="13"/>
      <c r="F330" s="13"/>
      <c r="G330" s="153">
        <f>IF(AND(Sum!$F535="Yes",Sum!$G535="Fees",Sum!H$397=G$5),Sum!H535,0)</f>
        <v>0</v>
      </c>
      <c r="H330" s="13">
        <f>IF(AND(Sum!$F535="Yes",Sum!$G535="Fees",Sum!I$397=H$5),Sum!I535,0)</f>
        <v>0</v>
      </c>
      <c r="I330" s="13">
        <f>IF(AND(Sum!$F535="Yes",Sum!$G535="Fees",Sum!J$397=I$5),Sum!J535,0)</f>
        <v>0</v>
      </c>
      <c r="J330" s="13">
        <f>IF(AND(Sum!$F535="Yes",Sum!$G535="Fees",Sum!K$397=J$5),Sum!K535,0)</f>
        <v>0</v>
      </c>
      <c r="K330" s="13">
        <f>IF(AND(Sum!$F535="Yes",Sum!$G535="Fees",Sum!L$397=K$5),Sum!L535,0)</f>
        <v>0</v>
      </c>
      <c r="L330" s="13">
        <f>IF(AND(Sum!$F535="Yes",Sum!$G535="Fees",Sum!M$397=L$5),Sum!M535,0)</f>
        <v>0</v>
      </c>
      <c r="M330" s="13">
        <f>IF(AND(Sum!$F535="Yes",Sum!$G535="Fees",Sum!N$397=M$5),Sum!N535,0)</f>
        <v>0</v>
      </c>
      <c r="N330" s="13">
        <f>IF(AND(Sum!$F535="Yes",Sum!$G535="Fees",Sum!O$397=N$5),Sum!O535,0)</f>
        <v>0</v>
      </c>
      <c r="O330" s="13">
        <f>IF(AND(Sum!$F535="Yes",Sum!$G535="Fees",Sum!P$397=O$5),Sum!P535,0)</f>
        <v>0</v>
      </c>
      <c r="P330" s="13">
        <f>IF(AND(Sum!$F535="Yes",Sum!$G535="Fees",Sum!Q$397=P$5),Sum!Q535,0)</f>
        <v>0</v>
      </c>
      <c r="Q330" s="264" t="str">
        <f>IF(AND(Sum!$F535="Yes",Sum!$G535="Fees"),Sum!$E535,"")</f>
        <v/>
      </c>
    </row>
    <row r="331" spans="1:17" ht="12.75" customHeight="1" x14ac:dyDescent="0.25">
      <c r="A331" s="18"/>
      <c r="B331" s="306" t="str">
        <f>IF(AND(Sum!$F536="Yes",Sum!$G536="Fees"),Sum!$B536,"")</f>
        <v/>
      </c>
      <c r="C331" s="13"/>
      <c r="D331" s="13"/>
      <c r="E331" s="13"/>
      <c r="F331" s="13"/>
      <c r="G331" s="153">
        <f>IF(AND(Sum!$F536="Yes",Sum!$G536="Fees",Sum!H$397=G$5),Sum!H536,0)</f>
        <v>0</v>
      </c>
      <c r="H331" s="13">
        <f>IF(AND(Sum!$F536="Yes",Sum!$G536="Fees",Sum!I$397=H$5),Sum!I536,0)</f>
        <v>0</v>
      </c>
      <c r="I331" s="13">
        <f>IF(AND(Sum!$F536="Yes",Sum!$G536="Fees",Sum!J$397=I$5),Sum!J536,0)</f>
        <v>0</v>
      </c>
      <c r="J331" s="13">
        <f>IF(AND(Sum!$F536="Yes",Sum!$G536="Fees",Sum!K$397=J$5),Sum!K536,0)</f>
        <v>0</v>
      </c>
      <c r="K331" s="13">
        <f>IF(AND(Sum!$F536="Yes",Sum!$G536="Fees",Sum!L$397=K$5),Sum!L536,0)</f>
        <v>0</v>
      </c>
      <c r="L331" s="13">
        <f>IF(AND(Sum!$F536="Yes",Sum!$G536="Fees",Sum!M$397=L$5),Sum!M536,0)</f>
        <v>0</v>
      </c>
      <c r="M331" s="13">
        <f>IF(AND(Sum!$F536="Yes",Sum!$G536="Fees",Sum!N$397=M$5),Sum!N536,0)</f>
        <v>0</v>
      </c>
      <c r="N331" s="13">
        <f>IF(AND(Sum!$F536="Yes",Sum!$G536="Fees",Sum!O$397=N$5),Sum!O536,0)</f>
        <v>0</v>
      </c>
      <c r="O331" s="13">
        <f>IF(AND(Sum!$F536="Yes",Sum!$G536="Fees",Sum!P$397=O$5),Sum!P536,0)</f>
        <v>0</v>
      </c>
      <c r="P331" s="13">
        <f>IF(AND(Sum!$F536="Yes",Sum!$G536="Fees",Sum!Q$397=P$5),Sum!Q536,0)</f>
        <v>0</v>
      </c>
      <c r="Q331" s="264" t="str">
        <f>IF(AND(Sum!$F536="Yes",Sum!$G536="Fees"),Sum!$E536,"")</f>
        <v/>
      </c>
    </row>
    <row r="332" spans="1:17" ht="12.75" customHeight="1" x14ac:dyDescent="0.25">
      <c r="A332" s="18"/>
      <c r="B332" s="306" t="str">
        <f>IF(AND(Sum!$F537="Yes",Sum!$G537="Fees"),Sum!$B537,"")</f>
        <v/>
      </c>
      <c r="C332" s="13"/>
      <c r="D332" s="13"/>
      <c r="E332" s="13"/>
      <c r="F332" s="13"/>
      <c r="G332" s="153">
        <f>IF(AND(Sum!$F537="Yes",Sum!$G537="Fees",Sum!H$397=G$5),Sum!H537,0)</f>
        <v>0</v>
      </c>
      <c r="H332" s="13">
        <f>IF(AND(Sum!$F537="Yes",Sum!$G537="Fees",Sum!I$397=H$5),Sum!I537,0)</f>
        <v>0</v>
      </c>
      <c r="I332" s="13">
        <f>IF(AND(Sum!$F537="Yes",Sum!$G537="Fees",Sum!J$397=I$5),Sum!J537,0)</f>
        <v>0</v>
      </c>
      <c r="J332" s="13">
        <f>IF(AND(Sum!$F537="Yes",Sum!$G537="Fees",Sum!K$397=J$5),Sum!K537,0)</f>
        <v>0</v>
      </c>
      <c r="K332" s="13">
        <f>IF(AND(Sum!$F537="Yes",Sum!$G537="Fees",Sum!L$397=K$5),Sum!L537,0)</f>
        <v>0</v>
      </c>
      <c r="L332" s="13">
        <f>IF(AND(Sum!$F537="Yes",Sum!$G537="Fees",Sum!M$397=L$5),Sum!M537,0)</f>
        <v>0</v>
      </c>
      <c r="M332" s="13">
        <f>IF(AND(Sum!$F537="Yes",Sum!$G537="Fees",Sum!N$397=M$5),Sum!N537,0)</f>
        <v>0</v>
      </c>
      <c r="N332" s="13">
        <f>IF(AND(Sum!$F537="Yes",Sum!$G537="Fees",Sum!O$397=N$5),Sum!O537,0)</f>
        <v>0</v>
      </c>
      <c r="O332" s="13">
        <f>IF(AND(Sum!$F537="Yes",Sum!$G537="Fees",Sum!P$397=O$5),Sum!P537,0)</f>
        <v>0</v>
      </c>
      <c r="P332" s="13">
        <f>IF(AND(Sum!$F537="Yes",Sum!$G537="Fees",Sum!Q$397=P$5),Sum!Q537,0)</f>
        <v>0</v>
      </c>
      <c r="Q332" s="264" t="str">
        <f>IF(AND(Sum!$F537="Yes",Sum!$G537="Fees"),Sum!$E537,"")</f>
        <v/>
      </c>
    </row>
    <row r="333" spans="1:17" ht="12.75" customHeight="1" x14ac:dyDescent="0.25">
      <c r="A333" s="18"/>
      <c r="B333" s="306" t="str">
        <f>IF(AND(Sum!$F538="Yes",Sum!$G538="Fees"),Sum!$B538,"")</f>
        <v/>
      </c>
      <c r="C333" s="13"/>
      <c r="D333" s="13"/>
      <c r="E333" s="13"/>
      <c r="F333" s="13"/>
      <c r="G333" s="153">
        <f>IF(AND(Sum!$F538="Yes",Sum!$G538="Fees",Sum!H$397=G$5),Sum!H538,0)</f>
        <v>0</v>
      </c>
      <c r="H333" s="13">
        <f>IF(AND(Sum!$F538="Yes",Sum!$G538="Fees",Sum!I$397=H$5),Sum!I538,0)</f>
        <v>0</v>
      </c>
      <c r="I333" s="13">
        <f>IF(AND(Sum!$F538="Yes",Sum!$G538="Fees",Sum!J$397=I$5),Sum!J538,0)</f>
        <v>0</v>
      </c>
      <c r="J333" s="13">
        <f>IF(AND(Sum!$F538="Yes",Sum!$G538="Fees",Sum!K$397=J$5),Sum!K538,0)</f>
        <v>0</v>
      </c>
      <c r="K333" s="13">
        <f>IF(AND(Sum!$F538="Yes",Sum!$G538="Fees",Sum!L$397=K$5),Sum!L538,0)</f>
        <v>0</v>
      </c>
      <c r="L333" s="13">
        <f>IF(AND(Sum!$F538="Yes",Sum!$G538="Fees",Sum!M$397=L$5),Sum!M538,0)</f>
        <v>0</v>
      </c>
      <c r="M333" s="13">
        <f>IF(AND(Sum!$F538="Yes",Sum!$G538="Fees",Sum!N$397=M$5),Sum!N538,0)</f>
        <v>0</v>
      </c>
      <c r="N333" s="13">
        <f>IF(AND(Sum!$F538="Yes",Sum!$G538="Fees",Sum!O$397=N$5),Sum!O538,0)</f>
        <v>0</v>
      </c>
      <c r="O333" s="13">
        <f>IF(AND(Sum!$F538="Yes",Sum!$G538="Fees",Sum!P$397=O$5),Sum!P538,0)</f>
        <v>0</v>
      </c>
      <c r="P333" s="13">
        <f>IF(AND(Sum!$F538="Yes",Sum!$G538="Fees",Sum!Q$397=P$5),Sum!Q538,0)</f>
        <v>0</v>
      </c>
      <c r="Q333" s="264" t="str">
        <f>IF(AND(Sum!$F538="Yes",Sum!$G538="Fees"),Sum!$E538,"")</f>
        <v/>
      </c>
    </row>
    <row r="334" spans="1:17" ht="12.75" customHeight="1" x14ac:dyDescent="0.25">
      <c r="A334" s="18"/>
      <c r="B334" s="306" t="str">
        <f>IF(AND(Sum!$F539="Yes",Sum!$G539="Fees"),Sum!$B539,"")</f>
        <v/>
      </c>
      <c r="C334" s="13"/>
      <c r="D334" s="13"/>
      <c r="E334" s="13"/>
      <c r="F334" s="13"/>
      <c r="G334" s="153">
        <f>IF(AND(Sum!$F539="Yes",Sum!$G539="Fees",Sum!H$397=G$5),Sum!H539,0)</f>
        <v>0</v>
      </c>
      <c r="H334" s="13">
        <f>IF(AND(Sum!$F539="Yes",Sum!$G539="Fees",Sum!I$397=H$5),Sum!I539,0)</f>
        <v>0</v>
      </c>
      <c r="I334" s="13">
        <f>IF(AND(Sum!$F539="Yes",Sum!$G539="Fees",Sum!J$397=I$5),Sum!J539,0)</f>
        <v>0</v>
      </c>
      <c r="J334" s="13">
        <f>IF(AND(Sum!$F539="Yes",Sum!$G539="Fees",Sum!K$397=J$5),Sum!K539,0)</f>
        <v>0</v>
      </c>
      <c r="K334" s="13">
        <f>IF(AND(Sum!$F539="Yes",Sum!$G539="Fees",Sum!L$397=K$5),Sum!L539,0)</f>
        <v>0</v>
      </c>
      <c r="L334" s="13">
        <f>IF(AND(Sum!$F539="Yes",Sum!$G539="Fees",Sum!M$397=L$5),Sum!M539,0)</f>
        <v>0</v>
      </c>
      <c r="M334" s="13">
        <f>IF(AND(Sum!$F539="Yes",Sum!$G539="Fees",Sum!N$397=M$5),Sum!N539,0)</f>
        <v>0</v>
      </c>
      <c r="N334" s="13">
        <f>IF(AND(Sum!$F539="Yes",Sum!$G539="Fees",Sum!O$397=N$5),Sum!O539,0)</f>
        <v>0</v>
      </c>
      <c r="O334" s="13">
        <f>IF(AND(Sum!$F539="Yes",Sum!$G539="Fees",Sum!P$397=O$5),Sum!P539,0)</f>
        <v>0</v>
      </c>
      <c r="P334" s="13">
        <f>IF(AND(Sum!$F539="Yes",Sum!$G539="Fees",Sum!Q$397=P$5),Sum!Q539,0)</f>
        <v>0</v>
      </c>
      <c r="Q334" s="264" t="str">
        <f>IF(AND(Sum!$F539="Yes",Sum!$G539="Fees"),Sum!$E539,"")</f>
        <v/>
      </c>
    </row>
    <row r="335" spans="1:17" ht="12.75" customHeight="1" x14ac:dyDescent="0.25">
      <c r="A335" s="18"/>
      <c r="B335" s="306" t="str">
        <f>IF(AND(Sum!$F540="Yes",Sum!$G540="Fees"),Sum!$B540,"")</f>
        <v/>
      </c>
      <c r="C335" s="13"/>
      <c r="D335" s="13"/>
      <c r="E335" s="13"/>
      <c r="F335" s="13"/>
      <c r="G335" s="153">
        <f>IF(AND(Sum!$F540="Yes",Sum!$G540="Fees",Sum!H$397=G$5),Sum!H540,0)</f>
        <v>0</v>
      </c>
      <c r="H335" s="13">
        <f>IF(AND(Sum!$F540="Yes",Sum!$G540="Fees",Sum!I$397=H$5),Sum!I540,0)</f>
        <v>0</v>
      </c>
      <c r="I335" s="13">
        <f>IF(AND(Sum!$F540="Yes",Sum!$G540="Fees",Sum!J$397=I$5),Sum!J540,0)</f>
        <v>0</v>
      </c>
      <c r="J335" s="13">
        <f>IF(AND(Sum!$F540="Yes",Sum!$G540="Fees",Sum!K$397=J$5),Sum!K540,0)</f>
        <v>0</v>
      </c>
      <c r="K335" s="13">
        <f>IF(AND(Sum!$F540="Yes",Sum!$G540="Fees",Sum!L$397=K$5),Sum!L540,0)</f>
        <v>0</v>
      </c>
      <c r="L335" s="13">
        <f>IF(AND(Sum!$F540="Yes",Sum!$G540="Fees",Sum!M$397=L$5),Sum!M540,0)</f>
        <v>0</v>
      </c>
      <c r="M335" s="13">
        <f>IF(AND(Sum!$F540="Yes",Sum!$G540="Fees",Sum!N$397=M$5),Sum!N540,0)</f>
        <v>0</v>
      </c>
      <c r="N335" s="13">
        <f>IF(AND(Sum!$F540="Yes",Sum!$G540="Fees",Sum!O$397=N$5),Sum!O540,0)</f>
        <v>0</v>
      </c>
      <c r="O335" s="13">
        <f>IF(AND(Sum!$F540="Yes",Sum!$G540="Fees",Sum!P$397=O$5),Sum!P540,0)</f>
        <v>0</v>
      </c>
      <c r="P335" s="13">
        <f>IF(AND(Sum!$F540="Yes",Sum!$G540="Fees",Sum!Q$397=P$5),Sum!Q540,0)</f>
        <v>0</v>
      </c>
      <c r="Q335" s="264" t="str">
        <f>IF(AND(Sum!$F540="Yes",Sum!$G540="Fees"),Sum!$E540,"")</f>
        <v/>
      </c>
    </row>
    <row r="336" spans="1:17" ht="12.75" customHeight="1" x14ac:dyDescent="0.25">
      <c r="A336" s="18"/>
      <c r="B336" s="306" t="str">
        <f>IF(AND(Sum!$F541="Yes",Sum!$G541="Fees"),Sum!$B541,"")</f>
        <v/>
      </c>
      <c r="C336" s="13"/>
      <c r="D336" s="13"/>
      <c r="E336" s="13"/>
      <c r="F336" s="13"/>
      <c r="G336" s="153">
        <f>IF(AND(Sum!$F541="Yes",Sum!$G541="Fees",Sum!H$397=G$5),Sum!H541,0)</f>
        <v>0</v>
      </c>
      <c r="H336" s="13">
        <f>IF(AND(Sum!$F541="Yes",Sum!$G541="Fees",Sum!I$397=H$5),Sum!I541,0)</f>
        <v>0</v>
      </c>
      <c r="I336" s="13">
        <f>IF(AND(Sum!$F541="Yes",Sum!$G541="Fees",Sum!J$397=I$5),Sum!J541,0)</f>
        <v>0</v>
      </c>
      <c r="J336" s="13">
        <f>IF(AND(Sum!$F541="Yes",Sum!$G541="Fees",Sum!K$397=J$5),Sum!K541,0)</f>
        <v>0</v>
      </c>
      <c r="K336" s="13">
        <f>IF(AND(Sum!$F541="Yes",Sum!$G541="Fees",Sum!L$397=K$5),Sum!L541,0)</f>
        <v>0</v>
      </c>
      <c r="L336" s="13">
        <f>IF(AND(Sum!$F541="Yes",Sum!$G541="Fees",Sum!M$397=L$5),Sum!M541,0)</f>
        <v>0</v>
      </c>
      <c r="M336" s="13">
        <f>IF(AND(Sum!$F541="Yes",Sum!$G541="Fees",Sum!N$397=M$5),Sum!N541,0)</f>
        <v>0</v>
      </c>
      <c r="N336" s="13">
        <f>IF(AND(Sum!$F541="Yes",Sum!$G541="Fees",Sum!O$397=N$5),Sum!O541,0)</f>
        <v>0</v>
      </c>
      <c r="O336" s="13">
        <f>IF(AND(Sum!$F541="Yes",Sum!$G541="Fees",Sum!P$397=O$5),Sum!P541,0)</f>
        <v>0</v>
      </c>
      <c r="P336" s="13">
        <f>IF(AND(Sum!$F541="Yes",Sum!$G541="Fees",Sum!Q$397=P$5),Sum!Q541,0)</f>
        <v>0</v>
      </c>
      <c r="Q336" s="264" t="str">
        <f>IF(AND(Sum!$F541="Yes",Sum!$G541="Fees"),Sum!$E541,"")</f>
        <v/>
      </c>
    </row>
    <row r="337" spans="1:17" ht="12.75" customHeight="1" x14ac:dyDescent="0.25">
      <c r="A337" s="18"/>
      <c r="B337" s="306" t="str">
        <f>IF(AND(Sum!$F542="Yes",Sum!$G542="Fees"),Sum!$B542,"")</f>
        <v/>
      </c>
      <c r="C337" s="13"/>
      <c r="D337" s="13"/>
      <c r="E337" s="13"/>
      <c r="F337" s="13"/>
      <c r="G337" s="153">
        <f>IF(AND(Sum!$F542="Yes",Sum!$G542="Fees",Sum!H$397=G$5),Sum!H542,0)</f>
        <v>0</v>
      </c>
      <c r="H337" s="13">
        <f>IF(AND(Sum!$F542="Yes",Sum!$G542="Fees",Sum!I$397=H$5),Sum!I542,0)</f>
        <v>0</v>
      </c>
      <c r="I337" s="13">
        <f>IF(AND(Sum!$F542="Yes",Sum!$G542="Fees",Sum!J$397=I$5),Sum!J542,0)</f>
        <v>0</v>
      </c>
      <c r="J337" s="13">
        <f>IF(AND(Sum!$F542="Yes",Sum!$G542="Fees",Sum!K$397=J$5),Sum!K542,0)</f>
        <v>0</v>
      </c>
      <c r="K337" s="13">
        <f>IF(AND(Sum!$F542="Yes",Sum!$G542="Fees",Sum!L$397=K$5),Sum!L542,0)</f>
        <v>0</v>
      </c>
      <c r="L337" s="13">
        <f>IF(AND(Sum!$F542="Yes",Sum!$G542="Fees",Sum!M$397=L$5),Sum!M542,0)</f>
        <v>0</v>
      </c>
      <c r="M337" s="13">
        <f>IF(AND(Sum!$F542="Yes",Sum!$G542="Fees",Sum!N$397=M$5),Sum!N542,0)</f>
        <v>0</v>
      </c>
      <c r="N337" s="13">
        <f>IF(AND(Sum!$F542="Yes",Sum!$G542="Fees",Sum!O$397=N$5),Sum!O542,0)</f>
        <v>0</v>
      </c>
      <c r="O337" s="13">
        <f>IF(AND(Sum!$F542="Yes",Sum!$G542="Fees",Sum!P$397=O$5),Sum!P542,0)</f>
        <v>0</v>
      </c>
      <c r="P337" s="13">
        <f>IF(AND(Sum!$F542="Yes",Sum!$G542="Fees",Sum!Q$397=P$5),Sum!Q542,0)</f>
        <v>0</v>
      </c>
      <c r="Q337" s="264" t="str">
        <f>IF(AND(Sum!$F542="Yes",Sum!$G542="Fees"),Sum!$E542,"")</f>
        <v/>
      </c>
    </row>
    <row r="338" spans="1:17" ht="12.75" customHeight="1" x14ac:dyDescent="0.25">
      <c r="A338" s="18"/>
      <c r="B338" s="306" t="str">
        <f>IF(AND(Sum!$F543="Yes",Sum!$G543="Fees"),Sum!$B543,"")</f>
        <v/>
      </c>
      <c r="C338" s="13"/>
      <c r="D338" s="13"/>
      <c r="E338" s="13"/>
      <c r="F338" s="13"/>
      <c r="G338" s="153">
        <f>IF(AND(Sum!$F543="Yes",Sum!$G543="Fees",Sum!H$397=G$5),Sum!H543,0)</f>
        <v>0</v>
      </c>
      <c r="H338" s="13">
        <f>IF(AND(Sum!$F543="Yes",Sum!$G543="Fees",Sum!I$397=H$5),Sum!I543,0)</f>
        <v>0</v>
      </c>
      <c r="I338" s="13">
        <f>IF(AND(Sum!$F543="Yes",Sum!$G543="Fees",Sum!J$397=I$5),Sum!J543,0)</f>
        <v>0</v>
      </c>
      <c r="J338" s="13">
        <f>IF(AND(Sum!$F543="Yes",Sum!$G543="Fees",Sum!K$397=J$5),Sum!K543,0)</f>
        <v>0</v>
      </c>
      <c r="K338" s="13">
        <f>IF(AND(Sum!$F543="Yes",Sum!$G543="Fees",Sum!L$397=K$5),Sum!L543,0)</f>
        <v>0</v>
      </c>
      <c r="L338" s="13">
        <f>IF(AND(Sum!$F543="Yes",Sum!$G543="Fees",Sum!M$397=L$5),Sum!M543,0)</f>
        <v>0</v>
      </c>
      <c r="M338" s="13">
        <f>IF(AND(Sum!$F543="Yes",Sum!$G543="Fees",Sum!N$397=M$5),Sum!N543,0)</f>
        <v>0</v>
      </c>
      <c r="N338" s="13">
        <f>IF(AND(Sum!$F543="Yes",Sum!$G543="Fees",Sum!O$397=N$5),Sum!O543,0)</f>
        <v>0</v>
      </c>
      <c r="O338" s="13">
        <f>IF(AND(Sum!$F543="Yes",Sum!$G543="Fees",Sum!P$397=O$5),Sum!P543,0)</f>
        <v>0</v>
      </c>
      <c r="P338" s="13">
        <f>IF(AND(Sum!$F543="Yes",Sum!$G543="Fees",Sum!Q$397=P$5),Sum!Q543,0)</f>
        <v>0</v>
      </c>
      <c r="Q338" s="264" t="str">
        <f>IF(AND(Sum!$F543="Yes",Sum!$G543="Fees"),Sum!$E543,"")</f>
        <v/>
      </c>
    </row>
    <row r="339" spans="1:17" ht="12.75" customHeight="1" x14ac:dyDescent="0.25">
      <c r="A339" s="18"/>
      <c r="B339" s="306" t="str">
        <f>IF(AND(Sum!$F544="Yes",Sum!$G544="Fees"),Sum!$B544,"")</f>
        <v/>
      </c>
      <c r="C339" s="13"/>
      <c r="D339" s="13"/>
      <c r="E339" s="13"/>
      <c r="F339" s="13"/>
      <c r="G339" s="153">
        <f>IF(AND(Sum!$F544="Yes",Sum!$G544="Fees",Sum!H$397=G$5),Sum!H544,0)</f>
        <v>0</v>
      </c>
      <c r="H339" s="13">
        <f>IF(AND(Sum!$F544="Yes",Sum!$G544="Fees",Sum!I$397=H$5),Sum!I544,0)</f>
        <v>0</v>
      </c>
      <c r="I339" s="13">
        <f>IF(AND(Sum!$F544="Yes",Sum!$G544="Fees",Sum!J$397=I$5),Sum!J544,0)</f>
        <v>0</v>
      </c>
      <c r="J339" s="13">
        <f>IF(AND(Sum!$F544="Yes",Sum!$G544="Fees",Sum!K$397=J$5),Sum!K544,0)</f>
        <v>0</v>
      </c>
      <c r="K339" s="13">
        <f>IF(AND(Sum!$F544="Yes",Sum!$G544="Fees",Sum!L$397=K$5),Sum!L544,0)</f>
        <v>0</v>
      </c>
      <c r="L339" s="13">
        <f>IF(AND(Sum!$F544="Yes",Sum!$G544="Fees",Sum!M$397=L$5),Sum!M544,0)</f>
        <v>0</v>
      </c>
      <c r="M339" s="13">
        <f>IF(AND(Sum!$F544="Yes",Sum!$G544="Fees",Sum!N$397=M$5),Sum!N544,0)</f>
        <v>0</v>
      </c>
      <c r="N339" s="13">
        <f>IF(AND(Sum!$F544="Yes",Sum!$G544="Fees",Sum!O$397=N$5),Sum!O544,0)</f>
        <v>0</v>
      </c>
      <c r="O339" s="13">
        <f>IF(AND(Sum!$F544="Yes",Sum!$G544="Fees",Sum!P$397=O$5),Sum!P544,0)</f>
        <v>0</v>
      </c>
      <c r="P339" s="13">
        <f>IF(AND(Sum!$F544="Yes",Sum!$G544="Fees",Sum!Q$397=P$5),Sum!Q544,0)</f>
        <v>0</v>
      </c>
      <c r="Q339" s="264" t="str">
        <f>IF(AND(Sum!$F544="Yes",Sum!$G544="Fees"),Sum!$E544,"")</f>
        <v/>
      </c>
    </row>
    <row r="340" spans="1:17" ht="12.75" customHeight="1" x14ac:dyDescent="0.25">
      <c r="A340" s="18"/>
      <c r="B340" s="306" t="str">
        <f>IF(AND(Sum!$F545="Yes",Sum!$G545="Fees"),Sum!$B545,"")</f>
        <v/>
      </c>
      <c r="C340" s="13"/>
      <c r="D340" s="13"/>
      <c r="E340" s="13"/>
      <c r="F340" s="13"/>
      <c r="G340" s="153">
        <f>IF(AND(Sum!$F545="Yes",Sum!$G545="Fees",Sum!H$397=G$5),Sum!H545,0)</f>
        <v>0</v>
      </c>
      <c r="H340" s="13">
        <f>IF(AND(Sum!$F545="Yes",Sum!$G545="Fees",Sum!I$397=H$5),Sum!I545,0)</f>
        <v>0</v>
      </c>
      <c r="I340" s="13">
        <f>IF(AND(Sum!$F545="Yes",Sum!$G545="Fees",Sum!J$397=I$5),Sum!J545,0)</f>
        <v>0</v>
      </c>
      <c r="J340" s="13">
        <f>IF(AND(Sum!$F545="Yes",Sum!$G545="Fees",Sum!K$397=J$5),Sum!K545,0)</f>
        <v>0</v>
      </c>
      <c r="K340" s="13">
        <f>IF(AND(Sum!$F545="Yes",Sum!$G545="Fees",Sum!L$397=K$5),Sum!L545,0)</f>
        <v>0</v>
      </c>
      <c r="L340" s="13">
        <f>IF(AND(Sum!$F545="Yes",Sum!$G545="Fees",Sum!M$397=L$5),Sum!M545,0)</f>
        <v>0</v>
      </c>
      <c r="M340" s="13">
        <f>IF(AND(Sum!$F545="Yes",Sum!$G545="Fees",Sum!N$397=M$5),Sum!N545,0)</f>
        <v>0</v>
      </c>
      <c r="N340" s="13">
        <f>IF(AND(Sum!$F545="Yes",Sum!$G545="Fees",Sum!O$397=N$5),Sum!O545,0)</f>
        <v>0</v>
      </c>
      <c r="O340" s="13">
        <f>IF(AND(Sum!$F545="Yes",Sum!$G545="Fees",Sum!P$397=O$5),Sum!P545,0)</f>
        <v>0</v>
      </c>
      <c r="P340" s="13">
        <f>IF(AND(Sum!$F545="Yes",Sum!$G545="Fees",Sum!Q$397=P$5),Sum!Q545,0)</f>
        <v>0</v>
      </c>
      <c r="Q340" s="264" t="str">
        <f>IF(AND(Sum!$F545="Yes",Sum!$G545="Fees"),Sum!$E545,"")</f>
        <v/>
      </c>
    </row>
    <row r="341" spans="1:17" ht="12.75" customHeight="1" x14ac:dyDescent="0.25">
      <c r="A341" s="18"/>
      <c r="B341" s="306" t="str">
        <f>IF(AND(Sum!$F546="Yes",Sum!$G546="Fees"),Sum!$B546,"")</f>
        <v/>
      </c>
      <c r="C341" s="13"/>
      <c r="D341" s="13"/>
      <c r="E341" s="13"/>
      <c r="F341" s="13"/>
      <c r="G341" s="153">
        <f>IF(AND(Sum!$F546="Yes",Sum!$G546="Fees",Sum!H$397=G$5),Sum!H546,0)</f>
        <v>0</v>
      </c>
      <c r="H341" s="13">
        <f>IF(AND(Sum!$F546="Yes",Sum!$G546="Fees",Sum!I$397=H$5),Sum!I546,0)</f>
        <v>0</v>
      </c>
      <c r="I341" s="13">
        <f>IF(AND(Sum!$F546="Yes",Sum!$G546="Fees",Sum!J$397=I$5),Sum!J546,0)</f>
        <v>0</v>
      </c>
      <c r="J341" s="13">
        <f>IF(AND(Sum!$F546="Yes",Sum!$G546="Fees",Sum!K$397=J$5),Sum!K546,0)</f>
        <v>0</v>
      </c>
      <c r="K341" s="13">
        <f>IF(AND(Sum!$F546="Yes",Sum!$G546="Fees",Sum!L$397=K$5),Sum!L546,0)</f>
        <v>0</v>
      </c>
      <c r="L341" s="13">
        <f>IF(AND(Sum!$F546="Yes",Sum!$G546="Fees",Sum!M$397=L$5),Sum!M546,0)</f>
        <v>0</v>
      </c>
      <c r="M341" s="13">
        <f>IF(AND(Sum!$F546="Yes",Sum!$G546="Fees",Sum!N$397=M$5),Sum!N546,0)</f>
        <v>0</v>
      </c>
      <c r="N341" s="13">
        <f>IF(AND(Sum!$F546="Yes",Sum!$G546="Fees",Sum!O$397=N$5),Sum!O546,0)</f>
        <v>0</v>
      </c>
      <c r="O341" s="13">
        <f>IF(AND(Sum!$F546="Yes",Sum!$G546="Fees",Sum!P$397=O$5),Sum!P546,0)</f>
        <v>0</v>
      </c>
      <c r="P341" s="13">
        <f>IF(AND(Sum!$F546="Yes",Sum!$G546="Fees",Sum!Q$397=P$5),Sum!Q546,0)</f>
        <v>0</v>
      </c>
      <c r="Q341" s="264" t="str">
        <f>IF(AND(Sum!$F546="Yes",Sum!$G546="Fees"),Sum!$E546,"")</f>
        <v/>
      </c>
    </row>
    <row r="342" spans="1:17" ht="12.75" customHeight="1" x14ac:dyDescent="0.25">
      <c r="B342" s="307" t="str">
        <f>IF(AND(Sum!$F547="Yes",Sum!$G547="Fees"),Sum!$B547,"")</f>
        <v/>
      </c>
      <c r="C342" s="30"/>
      <c r="D342" s="30"/>
      <c r="E342" s="30"/>
      <c r="F342" s="30"/>
      <c r="G342" s="154">
        <f>IF(AND(Sum!$F547="Yes",Sum!$G547="Fees",Sum!H$397=G$5),Sum!H547,0)</f>
        <v>0</v>
      </c>
      <c r="H342" s="30">
        <f>IF(AND(Sum!$F547="Yes",Sum!$G547="Fees",Sum!I$397=H$5),Sum!I547,0)</f>
        <v>0</v>
      </c>
      <c r="I342" s="30">
        <f>IF(AND(Sum!$F547="Yes",Sum!$G547="Fees",Sum!J$397=I$5),Sum!J547,0)</f>
        <v>0</v>
      </c>
      <c r="J342" s="30">
        <f>IF(AND(Sum!$F547="Yes",Sum!$G547="Fees",Sum!K$397=J$5),Sum!K547,0)</f>
        <v>0</v>
      </c>
      <c r="K342" s="30">
        <f>IF(AND(Sum!$F547="Yes",Sum!$G547="Fees",Sum!L$397=K$5),Sum!L547,0)</f>
        <v>0</v>
      </c>
      <c r="L342" s="30">
        <f>IF(AND(Sum!$F547="Yes",Sum!$G547="Fees",Sum!M$397=L$5),Sum!M547,0)</f>
        <v>0</v>
      </c>
      <c r="M342" s="30">
        <f>IF(AND(Sum!$F547="Yes",Sum!$G547="Fees",Sum!N$397=M$5),Sum!N547,0)</f>
        <v>0</v>
      </c>
      <c r="N342" s="30">
        <f>IF(AND(Sum!$F547="Yes",Sum!$G547="Fees",Sum!O$397=N$5),Sum!O547,0)</f>
        <v>0</v>
      </c>
      <c r="O342" s="30">
        <f>IF(AND(Sum!$F547="Yes",Sum!$G547="Fees",Sum!P$397=O$5),Sum!P547,0)</f>
        <v>0</v>
      </c>
      <c r="P342" s="30">
        <f>IF(AND(Sum!$F547="Yes",Sum!$G547="Fees",Sum!Q$397=P$5),Sum!Q547,0)</f>
        <v>0</v>
      </c>
      <c r="Q342" s="288" t="str">
        <f>IF(AND(Sum!$F547="Yes",Sum!$G547="Fees"),Sum!$E547,"")</f>
        <v/>
      </c>
    </row>
    <row r="343" spans="1:17" ht="12.75" customHeight="1" x14ac:dyDescent="0.25">
      <c r="B343" s="29" t="s">
        <v>122</v>
      </c>
      <c r="C343" s="3"/>
      <c r="D343" s="3"/>
      <c r="E343" s="13"/>
      <c r="F343" s="13"/>
      <c r="G343" s="153">
        <f>SUM(G193:G342)</f>
        <v>0</v>
      </c>
      <c r="H343" s="13">
        <f>SUM(H193:H342)</f>
        <v>0</v>
      </c>
      <c r="I343" s="13">
        <f>SUM(I193:I342)</f>
        <v>0</v>
      </c>
      <c r="J343" s="13">
        <f t="shared" ref="J343:P343" si="9">SUM(J193:J342)</f>
        <v>0</v>
      </c>
      <c r="K343" s="13">
        <f t="shared" si="9"/>
        <v>0</v>
      </c>
      <c r="L343" s="13">
        <f t="shared" si="9"/>
        <v>0</v>
      </c>
      <c r="M343" s="13">
        <f t="shared" si="9"/>
        <v>0</v>
      </c>
      <c r="N343" s="13">
        <f t="shared" si="9"/>
        <v>0</v>
      </c>
      <c r="O343" s="13">
        <f t="shared" si="9"/>
        <v>0</v>
      </c>
      <c r="P343" s="13">
        <f t="shared" si="9"/>
        <v>0</v>
      </c>
      <c r="Q343" s="82"/>
    </row>
    <row r="344" spans="1:17" ht="12.75" customHeight="1" thickBot="1" x14ac:dyDescent="0.3">
      <c r="A344" s="303"/>
      <c r="B344" s="303"/>
      <c r="C344" s="32"/>
      <c r="D344" s="32"/>
      <c r="E344" s="33"/>
      <c r="F344" s="33"/>
      <c r="G344" s="174"/>
      <c r="H344" s="33"/>
      <c r="I344" s="33"/>
      <c r="J344" s="33"/>
      <c r="K344" s="33"/>
      <c r="L344" s="33"/>
      <c r="M344" s="33"/>
      <c r="N344" s="33"/>
      <c r="O344" s="33"/>
      <c r="P344" s="33"/>
      <c r="Q344" s="82"/>
    </row>
    <row r="345" spans="1:17" ht="12.75" customHeight="1" thickTop="1" x14ac:dyDescent="0.25">
      <c r="A345" s="383" t="s">
        <v>164</v>
      </c>
      <c r="B345" s="18"/>
      <c r="C345" s="3"/>
      <c r="D345" s="3"/>
      <c r="E345" s="13"/>
      <c r="F345" s="13"/>
      <c r="G345" s="153">
        <f>G190-G343</f>
        <v>0</v>
      </c>
      <c r="H345" s="13">
        <f>H190-H343</f>
        <v>0</v>
      </c>
      <c r="I345" s="13">
        <f>I190-I343</f>
        <v>0</v>
      </c>
      <c r="J345" s="13">
        <f t="shared" ref="J345:P345" si="10">J190-J343</f>
        <v>0</v>
      </c>
      <c r="K345" s="13">
        <f t="shared" si="10"/>
        <v>0</v>
      </c>
      <c r="L345" s="13">
        <f t="shared" si="10"/>
        <v>0</v>
      </c>
      <c r="M345" s="13">
        <f t="shared" si="10"/>
        <v>0</v>
      </c>
      <c r="N345" s="13">
        <f t="shared" si="10"/>
        <v>0</v>
      </c>
      <c r="O345" s="13">
        <f t="shared" si="10"/>
        <v>0</v>
      </c>
      <c r="P345" s="13">
        <f t="shared" si="10"/>
        <v>0</v>
      </c>
      <c r="Q345" s="82"/>
    </row>
    <row r="346" spans="1:17" ht="12.75" customHeight="1" thickBot="1" x14ac:dyDescent="0.3">
      <c r="A346" s="384"/>
      <c r="B346" s="303"/>
      <c r="C346" s="32"/>
      <c r="D346" s="32"/>
      <c r="E346" s="33"/>
      <c r="F346" s="33"/>
      <c r="G346" s="174"/>
      <c r="H346" s="33"/>
      <c r="I346" s="33"/>
      <c r="J346" s="33"/>
      <c r="K346" s="33"/>
      <c r="L346" s="33"/>
      <c r="M346" s="33"/>
      <c r="N346" s="33"/>
      <c r="O346" s="33"/>
      <c r="P346" s="33"/>
      <c r="Q346" s="82"/>
    </row>
    <row r="347" spans="1:17" ht="12.75" customHeight="1" thickTop="1" x14ac:dyDescent="0.25">
      <c r="A347" s="383" t="s">
        <v>187</v>
      </c>
      <c r="B347" s="18"/>
      <c r="C347" s="3"/>
      <c r="D347" s="3"/>
      <c r="E347" s="13"/>
      <c r="F347" s="13"/>
      <c r="G347" s="153">
        <f>G183+G345</f>
        <v>0</v>
      </c>
      <c r="H347" s="13">
        <f>H183+H345</f>
        <v>0</v>
      </c>
      <c r="I347" s="13">
        <f>I183+I345</f>
        <v>0</v>
      </c>
      <c r="J347" s="13">
        <f t="shared" ref="J347:P347" si="11">J183+J345</f>
        <v>0</v>
      </c>
      <c r="K347" s="13">
        <f t="shared" si="11"/>
        <v>0</v>
      </c>
      <c r="L347" s="13">
        <f t="shared" si="11"/>
        <v>0</v>
      </c>
      <c r="M347" s="13">
        <f t="shared" si="11"/>
        <v>0</v>
      </c>
      <c r="N347" s="13">
        <f t="shared" si="11"/>
        <v>0</v>
      </c>
      <c r="O347" s="13">
        <f t="shared" si="11"/>
        <v>0</v>
      </c>
      <c r="P347" s="13">
        <f t="shared" si="11"/>
        <v>0</v>
      </c>
      <c r="Q347" s="82"/>
    </row>
    <row r="348" spans="1:17" ht="12.75" customHeight="1" thickBot="1" x14ac:dyDescent="0.3">
      <c r="A348" s="301"/>
      <c r="B348" s="301"/>
      <c r="C348" s="7"/>
      <c r="D348" s="7"/>
      <c r="E348" s="15"/>
      <c r="F348" s="15"/>
      <c r="G348" s="155"/>
      <c r="H348" s="15"/>
      <c r="I348" s="15"/>
      <c r="J348" s="15"/>
      <c r="K348" s="15"/>
      <c r="L348" s="15"/>
      <c r="M348" s="15"/>
      <c r="N348" s="15"/>
      <c r="O348" s="15"/>
      <c r="P348" s="15"/>
      <c r="Q348" s="302"/>
    </row>
    <row r="349" spans="1:17" ht="12.75" customHeight="1" x14ac:dyDescent="0.25">
      <c r="A349" s="62" t="s">
        <v>188</v>
      </c>
      <c r="B349" s="3"/>
      <c r="C349" s="3"/>
      <c r="D349" s="60">
        <v>0.75</v>
      </c>
      <c r="E349" s="13" t="s">
        <v>189</v>
      </c>
      <c r="F349" s="13"/>
      <c r="G349" s="431">
        <v>0.02</v>
      </c>
      <c r="H349" s="13" t="s">
        <v>190</v>
      </c>
      <c r="I349" s="13"/>
      <c r="J349" s="13"/>
      <c r="K349" s="13"/>
      <c r="L349" s="13"/>
      <c r="M349" s="13"/>
      <c r="N349" s="13"/>
      <c r="O349" s="13"/>
      <c r="P349" s="13"/>
    </row>
    <row r="350" spans="1:17" ht="12.75" customHeight="1" x14ac:dyDescent="0.25">
      <c r="A350" s="16"/>
      <c r="B350" s="3"/>
      <c r="C350" s="3"/>
      <c r="D350" s="3"/>
      <c r="E350" s="13"/>
      <c r="F350" s="13"/>
      <c r="G350" s="13"/>
      <c r="H350" s="13"/>
      <c r="I350" s="13"/>
      <c r="J350" s="13"/>
      <c r="K350" s="13"/>
      <c r="L350" s="13"/>
      <c r="M350" s="13"/>
      <c r="N350" s="13"/>
      <c r="O350" s="13"/>
      <c r="P350" s="13"/>
    </row>
    <row r="351" spans="1:17" ht="12.75" customHeight="1" x14ac:dyDescent="0.25">
      <c r="A351" s="16"/>
      <c r="B351" s="3"/>
      <c r="C351" s="3"/>
      <c r="D351" s="3"/>
      <c r="E351" s="13"/>
      <c r="F351" s="13"/>
      <c r="G351" s="13"/>
      <c r="H351" s="13"/>
      <c r="I351" s="13"/>
      <c r="J351" s="13"/>
      <c r="K351" s="13"/>
      <c r="L351" s="13"/>
      <c r="M351" s="13"/>
      <c r="N351" s="13"/>
      <c r="O351" s="13"/>
      <c r="P351" s="13"/>
    </row>
    <row r="352" spans="1:17" ht="12.75" customHeight="1" x14ac:dyDescent="0.25">
      <c r="A352" s="16"/>
      <c r="B352" s="3"/>
      <c r="C352" s="3"/>
      <c r="D352" s="3"/>
      <c r="E352" s="13"/>
      <c r="F352" s="13"/>
      <c r="G352" s="13"/>
      <c r="H352" s="13"/>
      <c r="I352" s="13"/>
      <c r="J352" s="13"/>
      <c r="K352" s="13"/>
      <c r="L352" s="13"/>
      <c r="M352" s="13"/>
      <c r="N352" s="13"/>
      <c r="O352" s="13"/>
      <c r="P352" s="13"/>
    </row>
    <row r="353" spans="1:16" ht="12.75" customHeight="1" x14ac:dyDescent="0.25">
      <c r="A353" s="77" t="s">
        <v>244</v>
      </c>
      <c r="B353" s="3"/>
      <c r="C353" s="3"/>
      <c r="D353" s="3"/>
      <c r="E353" s="13"/>
      <c r="F353" s="13"/>
      <c r="G353" s="13"/>
      <c r="H353" s="13"/>
      <c r="I353" s="13"/>
      <c r="J353" s="13"/>
      <c r="K353" s="13"/>
      <c r="L353" s="13"/>
      <c r="M353" s="13"/>
      <c r="N353" s="13"/>
      <c r="O353" s="3"/>
      <c r="P353" s="3"/>
    </row>
    <row r="354" spans="1:16" ht="12.75" customHeight="1" x14ac:dyDescent="0.25">
      <c r="A354" s="77" t="s">
        <v>133</v>
      </c>
      <c r="B354" s="3"/>
      <c r="C354" s="3"/>
      <c r="D354" s="3"/>
      <c r="E354" s="13"/>
      <c r="F354" s="13"/>
      <c r="G354" s="13"/>
      <c r="H354" s="13"/>
      <c r="I354" s="3"/>
      <c r="J354" s="3"/>
      <c r="K354" s="3"/>
      <c r="L354" s="3"/>
      <c r="M354" s="3"/>
      <c r="N354" s="3"/>
      <c r="O354" s="3"/>
      <c r="P354" s="3"/>
    </row>
    <row r="355" spans="1:16" ht="12.75" customHeight="1" x14ac:dyDescent="0.25">
      <c r="A355" s="77" t="s">
        <v>120</v>
      </c>
      <c r="B355" s="3"/>
      <c r="C355" s="3"/>
      <c r="D355" s="3"/>
      <c r="E355" s="13"/>
      <c r="F355" s="13"/>
      <c r="G355" s="13"/>
      <c r="H355" s="13"/>
      <c r="I355" s="3"/>
      <c r="J355" s="3"/>
      <c r="K355" s="3"/>
      <c r="L355" s="3"/>
      <c r="M355" s="3"/>
      <c r="N355" s="3"/>
      <c r="O355" s="3"/>
      <c r="P355" s="3"/>
    </row>
    <row r="356" spans="1:16" ht="12.75" customHeight="1" thickBot="1" x14ac:dyDescent="0.3">
      <c r="A356" s="78" t="s">
        <v>428</v>
      </c>
      <c r="B356" s="7"/>
      <c r="C356" s="7"/>
      <c r="D356" s="7"/>
      <c r="E356" s="105"/>
      <c r="F356" s="15"/>
      <c r="G356" s="15"/>
      <c r="H356" s="15"/>
      <c r="I356" s="7"/>
      <c r="J356" s="7"/>
      <c r="K356" s="7"/>
      <c r="L356" s="7"/>
      <c r="M356" s="7"/>
      <c r="N356" s="7"/>
      <c r="O356" s="7"/>
      <c r="P356" s="7"/>
    </row>
    <row r="357" spans="1:16" ht="12.75" customHeight="1" x14ac:dyDescent="0.25">
      <c r="A357" s="645" t="s">
        <v>215</v>
      </c>
      <c r="B357" s="645"/>
      <c r="C357" s="645"/>
      <c r="D357" s="214"/>
      <c r="E357" s="215">
        <f>Sum!E$5</f>
        <v>2023</v>
      </c>
      <c r="F357" s="215">
        <f>Sum!F$5</f>
        <v>2024</v>
      </c>
      <c r="G357" s="216">
        <f>Sum!G$5</f>
        <v>2025</v>
      </c>
      <c r="H357" s="215">
        <f>Sum!H$5</f>
        <v>2026</v>
      </c>
      <c r="I357" s="215">
        <f>Sum!I$5</f>
        <v>2027</v>
      </c>
      <c r="J357" s="215">
        <f>Sum!J$5</f>
        <v>2028</v>
      </c>
      <c r="K357" s="215">
        <f>Sum!K$5</f>
        <v>2029</v>
      </c>
      <c r="L357" s="215">
        <f>Sum!L$5</f>
        <v>2030</v>
      </c>
      <c r="M357" s="215">
        <f>Sum!M$5</f>
        <v>2031</v>
      </c>
      <c r="N357" s="215">
        <f>Sum!N$5</f>
        <v>2032</v>
      </c>
      <c r="O357" s="215">
        <f>Sum!O$5</f>
        <v>2033</v>
      </c>
      <c r="P357" s="215">
        <f>Sum!P$5</f>
        <v>2034</v>
      </c>
    </row>
    <row r="358" spans="1:16" ht="12.75" customHeight="1" x14ac:dyDescent="0.25">
      <c r="A358" s="16"/>
      <c r="B358" s="16"/>
      <c r="C358" s="16"/>
      <c r="D358" s="16"/>
      <c r="E358" s="120"/>
      <c r="F358" s="120"/>
      <c r="G358" s="178"/>
      <c r="H358" s="120"/>
      <c r="I358" s="120"/>
      <c r="J358" s="120"/>
      <c r="K358" s="120"/>
      <c r="L358" s="120"/>
      <c r="M358" s="120"/>
      <c r="N358" s="120"/>
      <c r="O358" s="120"/>
      <c r="P358" s="120"/>
    </row>
    <row r="359" spans="1:16" ht="12.75" customHeight="1" x14ac:dyDescent="0.25">
      <c r="A359" s="280" t="s">
        <v>126</v>
      </c>
      <c r="B359" s="74"/>
      <c r="C359" s="3"/>
      <c r="D359" s="3"/>
      <c r="E359" s="101"/>
      <c r="F359" s="101"/>
      <c r="G359" s="160"/>
      <c r="H359" s="20"/>
      <c r="I359" s="20"/>
      <c r="J359" s="20"/>
      <c r="K359" s="20"/>
      <c r="L359" s="20"/>
      <c r="M359" s="20"/>
      <c r="N359" s="20"/>
      <c r="O359" s="20"/>
      <c r="P359" s="20"/>
    </row>
    <row r="360" spans="1:16" ht="12.75" customHeight="1" x14ac:dyDescent="0.25">
      <c r="A360" s="129" t="s">
        <v>46</v>
      </c>
      <c r="B360" s="129"/>
      <c r="C360" s="3"/>
      <c r="D360" s="3"/>
      <c r="E360" s="101"/>
      <c r="F360" s="101"/>
      <c r="G360" s="160">
        <f>SUMIF($Q$17:$Q$166,"=GW Supply",G$17:G$166)</f>
        <v>0</v>
      </c>
      <c r="H360" s="20">
        <f>SUMIF($Q$17:$Q$166,"=GW Supply",H$17:H$166)</f>
        <v>0</v>
      </c>
      <c r="I360" s="20">
        <f>SUMIF($Q$17:$Q$166,"=GW Supply",I$17:I$166)</f>
        <v>0</v>
      </c>
      <c r="J360" s="20">
        <f t="shared" ref="J360:P360" si="12">SUMIF($Q$17:$Q$166,"=GW Supply",J$17:J$166)</f>
        <v>0</v>
      </c>
      <c r="K360" s="20">
        <f t="shared" si="12"/>
        <v>0</v>
      </c>
      <c r="L360" s="20">
        <f t="shared" si="12"/>
        <v>0</v>
      </c>
      <c r="M360" s="20">
        <f t="shared" si="12"/>
        <v>0</v>
      </c>
      <c r="N360" s="20">
        <f t="shared" si="12"/>
        <v>0</v>
      </c>
      <c r="O360" s="20">
        <f t="shared" si="12"/>
        <v>0</v>
      </c>
      <c r="P360" s="20">
        <f t="shared" si="12"/>
        <v>0</v>
      </c>
    </row>
    <row r="361" spans="1:16" ht="12.75" customHeight="1" x14ac:dyDescent="0.25">
      <c r="A361" s="129" t="s">
        <v>47</v>
      </c>
      <c r="B361" s="129"/>
      <c r="C361" s="3"/>
      <c r="D361" s="3"/>
      <c r="E361" s="101"/>
      <c r="F361" s="101"/>
      <c r="G361" s="160">
        <f>SUMIF($Q$17:$Q$166,"=SW Supply",G$17:G$166)</f>
        <v>0</v>
      </c>
      <c r="H361" s="20">
        <f>SUMIF($Q$17:$Q$166,"=SW Supply",H$17:H$166)</f>
        <v>0</v>
      </c>
      <c r="I361" s="20">
        <f>SUMIF($Q$17:$Q$166,"=SW Supply",I$17:I$166)</f>
        <v>0</v>
      </c>
      <c r="J361" s="20">
        <f t="shared" ref="J361:P361" si="13">SUMIF($Q$17:$Q$166,"=SW Supply",J$17:J$166)</f>
        <v>0</v>
      </c>
      <c r="K361" s="20">
        <f t="shared" si="13"/>
        <v>0</v>
      </c>
      <c r="L361" s="20">
        <f t="shared" si="13"/>
        <v>0</v>
      </c>
      <c r="M361" s="20">
        <f t="shared" si="13"/>
        <v>0</v>
      </c>
      <c r="N361" s="20">
        <f t="shared" si="13"/>
        <v>0</v>
      </c>
      <c r="O361" s="20">
        <f t="shared" si="13"/>
        <v>0</v>
      </c>
      <c r="P361" s="20">
        <f t="shared" si="13"/>
        <v>0</v>
      </c>
    </row>
    <row r="362" spans="1:16" ht="12.75" customHeight="1" x14ac:dyDescent="0.25">
      <c r="A362" s="129" t="s">
        <v>143</v>
      </c>
      <c r="B362" s="129"/>
      <c r="C362" s="3"/>
      <c r="D362" s="3"/>
      <c r="E362" s="101"/>
      <c r="F362" s="101"/>
      <c r="G362" s="160">
        <f>SUMIF($Q$17:$Q$166,"=WTP",G$17:G$166)</f>
        <v>0</v>
      </c>
      <c r="H362" s="20">
        <f>SUMIF($Q$17:$Q$166,"=WTP",H$17:H$166)</f>
        <v>0</v>
      </c>
      <c r="I362" s="20">
        <f>SUMIF($Q$17:$Q$166,"=WTP",I$17:I$166)</f>
        <v>0</v>
      </c>
      <c r="J362" s="20">
        <f t="shared" ref="J362:P362" si="14">SUMIF($Q$17:$Q$166,"=WTP",J$17:J$166)</f>
        <v>0</v>
      </c>
      <c r="K362" s="20">
        <f t="shared" si="14"/>
        <v>0</v>
      </c>
      <c r="L362" s="20">
        <f t="shared" si="14"/>
        <v>0</v>
      </c>
      <c r="M362" s="20">
        <f t="shared" si="14"/>
        <v>0</v>
      </c>
      <c r="N362" s="20">
        <f t="shared" si="14"/>
        <v>0</v>
      </c>
      <c r="O362" s="20">
        <f t="shared" si="14"/>
        <v>0</v>
      </c>
      <c r="P362" s="20">
        <f t="shared" si="14"/>
        <v>0</v>
      </c>
    </row>
    <row r="363" spans="1:16" ht="12.75" customHeight="1" x14ac:dyDescent="0.25">
      <c r="A363" s="129" t="s">
        <v>73</v>
      </c>
      <c r="B363" s="129"/>
      <c r="C363" s="3"/>
      <c r="D363" s="3"/>
      <c r="E363" s="101"/>
      <c r="F363" s="101"/>
      <c r="G363" s="160">
        <f>SUMIF($Q$17:$Q$166,"=PS&amp;T",G$17:G$166)</f>
        <v>0</v>
      </c>
      <c r="H363" s="20">
        <f>SUMIF($Q$17:$Q$166,"=PS&amp;T",H$17:H$166)</f>
        <v>25000</v>
      </c>
      <c r="I363" s="20">
        <f>SUMIF($Q$17:$Q$166,"=PS&amp;T",I$17:I$166)</f>
        <v>25000</v>
      </c>
      <c r="J363" s="20">
        <f t="shared" ref="J363:P363" si="15">SUMIF($Q$17:$Q$166,"=PS&amp;T",J$17:J$166)</f>
        <v>25000</v>
      </c>
      <c r="K363" s="20">
        <f t="shared" si="15"/>
        <v>25000</v>
      </c>
      <c r="L363" s="20">
        <f t="shared" si="15"/>
        <v>25000</v>
      </c>
      <c r="M363" s="20">
        <f t="shared" si="15"/>
        <v>25000</v>
      </c>
      <c r="N363" s="20">
        <f t="shared" si="15"/>
        <v>25000</v>
      </c>
      <c r="O363" s="20">
        <f t="shared" si="15"/>
        <v>25000</v>
      </c>
      <c r="P363" s="20">
        <f t="shared" si="15"/>
        <v>25000</v>
      </c>
    </row>
    <row r="364" spans="1:16" ht="12.75" customHeight="1" x14ac:dyDescent="0.25">
      <c r="A364" s="266" t="s">
        <v>144</v>
      </c>
      <c r="B364" s="266"/>
      <c r="C364" s="22"/>
      <c r="D364" s="22"/>
      <c r="E364" s="141"/>
      <c r="F364" s="141"/>
      <c r="G364" s="177">
        <f>SUMIF($Q$17:$Q$166,"=Distribution",G$17:G$166)</f>
        <v>0</v>
      </c>
      <c r="H364" s="76">
        <f>SUMIF($Q$17:$Q$166,"=Distribution",H$17:H$166)</f>
        <v>0</v>
      </c>
      <c r="I364" s="76">
        <f>SUMIF($Q$17:$Q$166,"=Distribution",I$17:I$166)</f>
        <v>0</v>
      </c>
      <c r="J364" s="76">
        <f t="shared" ref="J364:P364" si="16">SUMIF($Q$17:$Q$166,"=Distribution",J$17:J$166)</f>
        <v>0</v>
      </c>
      <c r="K364" s="76">
        <f t="shared" si="16"/>
        <v>0</v>
      </c>
      <c r="L364" s="76">
        <f t="shared" si="16"/>
        <v>0</v>
      </c>
      <c r="M364" s="76">
        <f t="shared" si="16"/>
        <v>0</v>
      </c>
      <c r="N364" s="76">
        <f t="shared" si="16"/>
        <v>0</v>
      </c>
      <c r="O364" s="76">
        <f t="shared" si="16"/>
        <v>0</v>
      </c>
      <c r="P364" s="76">
        <f t="shared" si="16"/>
        <v>0</v>
      </c>
    </row>
    <row r="365" spans="1:16" ht="12.75" customHeight="1" x14ac:dyDescent="0.25">
      <c r="A365" s="72" t="s">
        <v>127</v>
      </c>
      <c r="B365" s="72"/>
      <c r="C365" s="29"/>
      <c r="D365" s="29"/>
      <c r="E365" s="344"/>
      <c r="F365" s="344"/>
      <c r="G365" s="345">
        <f>SUM(G360:G364)</f>
        <v>0</v>
      </c>
      <c r="H365" s="346">
        <f>SUM(H360:H364)</f>
        <v>25000</v>
      </c>
      <c r="I365" s="346">
        <f>SUM(I360:I364)</f>
        <v>25000</v>
      </c>
      <c r="J365" s="346">
        <f t="shared" ref="J365:P365" si="17">SUM(J360:J364)</f>
        <v>25000</v>
      </c>
      <c r="K365" s="346">
        <f t="shared" si="17"/>
        <v>25000</v>
      </c>
      <c r="L365" s="346">
        <f t="shared" si="17"/>
        <v>25000</v>
      </c>
      <c r="M365" s="346">
        <f t="shared" si="17"/>
        <v>25000</v>
      </c>
      <c r="N365" s="346">
        <f t="shared" si="17"/>
        <v>25000</v>
      </c>
      <c r="O365" s="346">
        <f t="shared" si="17"/>
        <v>25000</v>
      </c>
      <c r="P365" s="346">
        <f t="shared" si="17"/>
        <v>25000</v>
      </c>
    </row>
    <row r="366" spans="1:16" ht="12.75" customHeight="1" x14ac:dyDescent="0.25">
      <c r="A366" s="16"/>
      <c r="B366" s="16"/>
      <c r="C366" s="16"/>
      <c r="D366" s="16"/>
      <c r="E366" s="120"/>
      <c r="F366" s="120"/>
      <c r="G366" s="178"/>
      <c r="H366" s="120"/>
      <c r="I366" s="120"/>
      <c r="J366" s="120"/>
      <c r="K366" s="120"/>
      <c r="L366" s="120"/>
      <c r="M366" s="120"/>
      <c r="N366" s="120"/>
      <c r="O366" s="120"/>
      <c r="P366" s="120"/>
    </row>
    <row r="367" spans="1:16" ht="12.75" customHeight="1" x14ac:dyDescent="0.25">
      <c r="A367" s="280" t="s">
        <v>125</v>
      </c>
      <c r="B367" s="74"/>
      <c r="C367" s="3"/>
      <c r="D367" s="3"/>
      <c r="E367" s="101"/>
      <c r="F367" s="101"/>
      <c r="G367" s="160"/>
      <c r="H367" s="20"/>
      <c r="I367" s="20"/>
      <c r="J367" s="20"/>
      <c r="K367" s="20"/>
      <c r="L367" s="20"/>
      <c r="M367" s="20"/>
      <c r="N367" s="20"/>
      <c r="O367" s="20"/>
      <c r="P367" s="20"/>
    </row>
    <row r="368" spans="1:16" ht="12.75" customHeight="1" x14ac:dyDescent="0.25">
      <c r="A368" s="129" t="s">
        <v>46</v>
      </c>
      <c r="B368" s="129"/>
      <c r="C368" s="3"/>
      <c r="D368" s="3"/>
      <c r="E368" s="101"/>
      <c r="F368" s="101"/>
      <c r="G368" s="160">
        <f>SUMIF($Q$193:$Q$342,"=GW Supply",G$193:G$342)</f>
        <v>0</v>
      </c>
      <c r="H368" s="20">
        <f>SUMIF($Q$193:$Q$342,"=GW Supply",H$193:H$342)</f>
        <v>0</v>
      </c>
      <c r="I368" s="20">
        <f>SUMIF($Q$193:$Q$342,"=GW Supply",I$193:I$342)</f>
        <v>0</v>
      </c>
      <c r="J368" s="20">
        <f t="shared" ref="J368:P368" si="18">SUMIF($Q$193:$Q$342,"=GW Supply",J$193:J$342)</f>
        <v>0</v>
      </c>
      <c r="K368" s="20">
        <f t="shared" si="18"/>
        <v>0</v>
      </c>
      <c r="L368" s="20">
        <f t="shared" si="18"/>
        <v>0</v>
      </c>
      <c r="M368" s="20">
        <f t="shared" si="18"/>
        <v>0</v>
      </c>
      <c r="N368" s="20">
        <f t="shared" si="18"/>
        <v>0</v>
      </c>
      <c r="O368" s="20">
        <f t="shared" si="18"/>
        <v>0</v>
      </c>
      <c r="P368" s="20">
        <f t="shared" si="18"/>
        <v>0</v>
      </c>
    </row>
    <row r="369" spans="1:16" ht="12.75" customHeight="1" x14ac:dyDescent="0.25">
      <c r="A369" s="129" t="s">
        <v>47</v>
      </c>
      <c r="B369" s="129"/>
      <c r="C369" s="3"/>
      <c r="D369" s="3"/>
      <c r="E369" s="101"/>
      <c r="F369" s="101"/>
      <c r="G369" s="160">
        <f>SUMIF($Q$193:$Q$342,"=SW Supply",G$193:G$342)</f>
        <v>0</v>
      </c>
      <c r="H369" s="20">
        <f>SUMIF($Q$193:$Q$342,"=SW Supply",H$193:H$342)</f>
        <v>0</v>
      </c>
      <c r="I369" s="20">
        <f>SUMIF($Q$193:$Q$342,"=SW Supply",I$193:I$342)</f>
        <v>0</v>
      </c>
      <c r="J369" s="20">
        <f t="shared" ref="J369:P369" si="19">SUMIF($Q$193:$Q$342,"=SW Supply",J$193:J$342)</f>
        <v>0</v>
      </c>
      <c r="K369" s="20">
        <f t="shared" si="19"/>
        <v>0</v>
      </c>
      <c r="L369" s="20">
        <f t="shared" si="19"/>
        <v>0</v>
      </c>
      <c r="M369" s="20">
        <f t="shared" si="19"/>
        <v>0</v>
      </c>
      <c r="N369" s="20">
        <f t="shared" si="19"/>
        <v>0</v>
      </c>
      <c r="O369" s="20">
        <f t="shared" si="19"/>
        <v>0</v>
      </c>
      <c r="P369" s="20">
        <f t="shared" si="19"/>
        <v>0</v>
      </c>
    </row>
    <row r="370" spans="1:16" ht="12.75" customHeight="1" x14ac:dyDescent="0.25">
      <c r="A370" s="129" t="s">
        <v>143</v>
      </c>
      <c r="B370" s="129"/>
      <c r="C370" s="3"/>
      <c r="D370" s="3"/>
      <c r="E370" s="101"/>
      <c r="F370" s="101"/>
      <c r="G370" s="160">
        <f>SUMIF($Q$193:$Q$342,"=WTP",G$193:G$342)</f>
        <v>0</v>
      </c>
      <c r="H370" s="20">
        <f>SUMIF($Q$193:$Q$342,"=WTP",H$193:H$342)</f>
        <v>0</v>
      </c>
      <c r="I370" s="20">
        <f>SUMIF($Q$193:$Q$342,"=WTP",I$193:I$342)</f>
        <v>0</v>
      </c>
      <c r="J370" s="20">
        <f t="shared" ref="J370:P370" si="20">SUMIF($Q$193:$Q$342,"=WTP",J$193:J$342)</f>
        <v>0</v>
      </c>
      <c r="K370" s="20">
        <f t="shared" si="20"/>
        <v>0</v>
      </c>
      <c r="L370" s="20">
        <f t="shared" si="20"/>
        <v>0</v>
      </c>
      <c r="M370" s="20">
        <f t="shared" si="20"/>
        <v>0</v>
      </c>
      <c r="N370" s="20">
        <f t="shared" si="20"/>
        <v>0</v>
      </c>
      <c r="O370" s="20">
        <f t="shared" si="20"/>
        <v>0</v>
      </c>
      <c r="P370" s="20">
        <f t="shared" si="20"/>
        <v>0</v>
      </c>
    </row>
    <row r="371" spans="1:16" ht="12.75" customHeight="1" x14ac:dyDescent="0.25">
      <c r="A371" s="129" t="s">
        <v>73</v>
      </c>
      <c r="B371" s="129"/>
      <c r="C371" s="3"/>
      <c r="D371" s="3"/>
      <c r="E371" s="101"/>
      <c r="F371" s="101"/>
      <c r="G371" s="160">
        <f>SUMIF($Q$193:$Q$342,"=PS&amp;T",G$193:G$342)</f>
        <v>0</v>
      </c>
      <c r="H371" s="20">
        <f>SUMIF($Q$193:$Q$342,"=PS&amp;T",H$193:H$342)</f>
        <v>0</v>
      </c>
      <c r="I371" s="20">
        <f>SUMIF($Q$193:$Q$342,"=PS&amp;T",I$193:I$342)</f>
        <v>0</v>
      </c>
      <c r="J371" s="20">
        <f t="shared" ref="J371:P371" si="21">SUMIF($Q$193:$Q$342,"=PS&amp;T",J$193:J$342)</f>
        <v>0</v>
      </c>
      <c r="K371" s="20">
        <f t="shared" si="21"/>
        <v>0</v>
      </c>
      <c r="L371" s="20">
        <f t="shared" si="21"/>
        <v>0</v>
      </c>
      <c r="M371" s="20">
        <f t="shared" si="21"/>
        <v>0</v>
      </c>
      <c r="N371" s="20">
        <f t="shared" si="21"/>
        <v>0</v>
      </c>
      <c r="O371" s="20">
        <f t="shared" si="21"/>
        <v>0</v>
      </c>
      <c r="P371" s="20">
        <f t="shared" si="21"/>
        <v>0</v>
      </c>
    </row>
    <row r="372" spans="1:16" ht="12.75" customHeight="1" x14ac:dyDescent="0.25">
      <c r="A372" s="266" t="s">
        <v>144</v>
      </c>
      <c r="B372" s="266"/>
      <c r="C372" s="22"/>
      <c r="D372" s="22"/>
      <c r="E372" s="141"/>
      <c r="F372" s="141"/>
      <c r="G372" s="177">
        <f>SUMIF($Q$193:$Q$342,"=Distribution",G$193:G$342)</f>
        <v>0</v>
      </c>
      <c r="H372" s="76">
        <f>SUMIF($Q$193:$Q$342,"=Distribution",H$193:H$342)</f>
        <v>0</v>
      </c>
      <c r="I372" s="76">
        <f>SUMIF($Q$193:$Q$342,"=Distribution",I$193:I$342)</f>
        <v>0</v>
      </c>
      <c r="J372" s="76">
        <f t="shared" ref="J372:P372" si="22">SUMIF($Q$193:$Q$342,"=Distribution",J$193:J$342)</f>
        <v>0</v>
      </c>
      <c r="K372" s="76">
        <f t="shared" si="22"/>
        <v>0</v>
      </c>
      <c r="L372" s="76">
        <f t="shared" si="22"/>
        <v>0</v>
      </c>
      <c r="M372" s="76">
        <f t="shared" si="22"/>
        <v>0</v>
      </c>
      <c r="N372" s="76">
        <f t="shared" si="22"/>
        <v>0</v>
      </c>
      <c r="O372" s="76">
        <f t="shared" si="22"/>
        <v>0</v>
      </c>
      <c r="P372" s="76">
        <f t="shared" si="22"/>
        <v>0</v>
      </c>
    </row>
    <row r="373" spans="1:16" ht="12.75" customHeight="1" x14ac:dyDescent="0.25">
      <c r="A373" s="72" t="s">
        <v>124</v>
      </c>
      <c r="B373" s="72"/>
      <c r="C373" s="29"/>
      <c r="D373" s="29"/>
      <c r="E373" s="344"/>
      <c r="F373" s="344"/>
      <c r="G373" s="345">
        <f>SUM(G368:G372)</f>
        <v>0</v>
      </c>
      <c r="H373" s="346">
        <f>SUM(H368:H372)</f>
        <v>0</v>
      </c>
      <c r="I373" s="346">
        <f>SUM(I368:I372)</f>
        <v>0</v>
      </c>
      <c r="J373" s="346">
        <f t="shared" ref="J373:P373" si="23">SUM(J368:J372)</f>
        <v>0</v>
      </c>
      <c r="K373" s="346">
        <f t="shared" si="23"/>
        <v>0</v>
      </c>
      <c r="L373" s="346">
        <f t="shared" si="23"/>
        <v>0</v>
      </c>
      <c r="M373" s="346">
        <f t="shared" si="23"/>
        <v>0</v>
      </c>
      <c r="N373" s="346">
        <f t="shared" si="23"/>
        <v>0</v>
      </c>
      <c r="O373" s="346">
        <f t="shared" si="23"/>
        <v>0</v>
      </c>
      <c r="P373" s="346">
        <f t="shared" si="23"/>
        <v>0</v>
      </c>
    </row>
    <row r="374" spans="1:16" ht="12.75" customHeight="1" thickBot="1" x14ac:dyDescent="0.3">
      <c r="A374" s="31"/>
      <c r="B374" s="31"/>
      <c r="C374" s="31"/>
      <c r="D374" s="31"/>
      <c r="E374" s="347"/>
      <c r="F374" s="347"/>
      <c r="G374" s="348"/>
      <c r="H374" s="347"/>
      <c r="I374" s="347"/>
      <c r="J374" s="347"/>
      <c r="K374" s="347"/>
      <c r="L374" s="347"/>
      <c r="M374" s="347"/>
      <c r="N374" s="347"/>
      <c r="O374" s="347"/>
      <c r="P374" s="347"/>
    </row>
    <row r="375" spans="1:16" ht="12.75" customHeight="1" thickTop="1" x14ac:dyDescent="0.25">
      <c r="A375" s="16"/>
      <c r="B375" s="16"/>
      <c r="C375" s="16"/>
      <c r="D375" s="16"/>
      <c r="E375" s="120"/>
      <c r="F375" s="120"/>
      <c r="G375" s="178"/>
      <c r="H375" s="120"/>
      <c r="I375" s="120"/>
      <c r="J375" s="120"/>
      <c r="K375" s="120"/>
      <c r="L375" s="120"/>
      <c r="M375" s="120"/>
      <c r="N375" s="120"/>
      <c r="O375" s="120"/>
      <c r="P375" s="120"/>
    </row>
    <row r="376" spans="1:16" ht="12.75" customHeight="1" x14ac:dyDescent="0.25">
      <c r="A376" s="280" t="s">
        <v>128</v>
      </c>
      <c r="B376" s="74"/>
      <c r="C376" s="3"/>
      <c r="D376" s="3"/>
      <c r="E376" s="101"/>
      <c r="F376" s="101"/>
      <c r="G376" s="160"/>
      <c r="H376" s="20"/>
      <c r="I376" s="20"/>
      <c r="J376" s="20"/>
      <c r="K376" s="20"/>
      <c r="L376" s="20"/>
      <c r="M376" s="20"/>
      <c r="N376" s="20"/>
      <c r="O376" s="20"/>
      <c r="P376" s="20"/>
    </row>
    <row r="377" spans="1:16" ht="12.75" customHeight="1" x14ac:dyDescent="0.25">
      <c r="A377" s="129" t="s">
        <v>46</v>
      </c>
      <c r="B377" s="129"/>
      <c r="C377" s="3"/>
      <c r="D377" s="3"/>
      <c r="E377" s="101"/>
      <c r="F377" s="101"/>
      <c r="G377" s="160">
        <f t="shared" ref="G377:I381" si="24">G360+G368</f>
        <v>0</v>
      </c>
      <c r="H377" s="20">
        <f t="shared" si="24"/>
        <v>0</v>
      </c>
      <c r="I377" s="20">
        <f t="shared" si="24"/>
        <v>0</v>
      </c>
      <c r="J377" s="20">
        <f t="shared" ref="J377:P377" si="25">J360+J368</f>
        <v>0</v>
      </c>
      <c r="K377" s="20">
        <f t="shared" si="25"/>
        <v>0</v>
      </c>
      <c r="L377" s="20">
        <f t="shared" si="25"/>
        <v>0</v>
      </c>
      <c r="M377" s="20">
        <f t="shared" si="25"/>
        <v>0</v>
      </c>
      <c r="N377" s="20">
        <f t="shared" si="25"/>
        <v>0</v>
      </c>
      <c r="O377" s="20">
        <f t="shared" si="25"/>
        <v>0</v>
      </c>
      <c r="P377" s="20">
        <f t="shared" si="25"/>
        <v>0</v>
      </c>
    </row>
    <row r="378" spans="1:16" ht="12.75" customHeight="1" x14ac:dyDescent="0.25">
      <c r="A378" s="129" t="s">
        <v>47</v>
      </c>
      <c r="B378" s="129"/>
      <c r="C378" s="3"/>
      <c r="D378" s="3"/>
      <c r="E378" s="101"/>
      <c r="F378" s="101"/>
      <c r="G378" s="160">
        <f t="shared" si="24"/>
        <v>0</v>
      </c>
      <c r="H378" s="20">
        <f t="shared" si="24"/>
        <v>0</v>
      </c>
      <c r="I378" s="20">
        <f t="shared" si="24"/>
        <v>0</v>
      </c>
      <c r="J378" s="20">
        <f t="shared" ref="J378:P378" si="26">J361+J369</f>
        <v>0</v>
      </c>
      <c r="K378" s="20">
        <f t="shared" si="26"/>
        <v>0</v>
      </c>
      <c r="L378" s="20">
        <f t="shared" si="26"/>
        <v>0</v>
      </c>
      <c r="M378" s="20">
        <f t="shared" si="26"/>
        <v>0</v>
      </c>
      <c r="N378" s="20">
        <f t="shared" si="26"/>
        <v>0</v>
      </c>
      <c r="O378" s="20">
        <f t="shared" si="26"/>
        <v>0</v>
      </c>
      <c r="P378" s="20">
        <f t="shared" si="26"/>
        <v>0</v>
      </c>
    </row>
    <row r="379" spans="1:16" ht="12.75" customHeight="1" x14ac:dyDescent="0.25">
      <c r="A379" s="129" t="s">
        <v>143</v>
      </c>
      <c r="B379" s="129"/>
      <c r="C379" s="3"/>
      <c r="D379" s="3"/>
      <c r="E379" s="101"/>
      <c r="F379" s="101"/>
      <c r="G379" s="160">
        <f t="shared" si="24"/>
        <v>0</v>
      </c>
      <c r="H379" s="20">
        <f t="shared" si="24"/>
        <v>0</v>
      </c>
      <c r="I379" s="20">
        <f t="shared" si="24"/>
        <v>0</v>
      </c>
      <c r="J379" s="20">
        <f t="shared" ref="J379:P379" si="27">J362+J370</f>
        <v>0</v>
      </c>
      <c r="K379" s="20">
        <f t="shared" si="27"/>
        <v>0</v>
      </c>
      <c r="L379" s="20">
        <f t="shared" si="27"/>
        <v>0</v>
      </c>
      <c r="M379" s="20">
        <f t="shared" si="27"/>
        <v>0</v>
      </c>
      <c r="N379" s="20">
        <f t="shared" si="27"/>
        <v>0</v>
      </c>
      <c r="O379" s="20">
        <f t="shared" si="27"/>
        <v>0</v>
      </c>
      <c r="P379" s="20">
        <f t="shared" si="27"/>
        <v>0</v>
      </c>
    </row>
    <row r="380" spans="1:16" ht="12.75" customHeight="1" x14ac:dyDescent="0.25">
      <c r="A380" s="129" t="s">
        <v>73</v>
      </c>
      <c r="B380" s="129"/>
      <c r="C380" s="3"/>
      <c r="D380" s="3"/>
      <c r="E380" s="101"/>
      <c r="F380" s="101"/>
      <c r="G380" s="160">
        <f t="shared" si="24"/>
        <v>0</v>
      </c>
      <c r="H380" s="20">
        <f t="shared" si="24"/>
        <v>25000</v>
      </c>
      <c r="I380" s="20">
        <f t="shared" si="24"/>
        <v>25000</v>
      </c>
      <c r="J380" s="20">
        <f t="shared" ref="J380:P380" si="28">J363+J371</f>
        <v>25000</v>
      </c>
      <c r="K380" s="20">
        <f t="shared" si="28"/>
        <v>25000</v>
      </c>
      <c r="L380" s="20">
        <f t="shared" si="28"/>
        <v>25000</v>
      </c>
      <c r="M380" s="20">
        <f t="shared" si="28"/>
        <v>25000</v>
      </c>
      <c r="N380" s="20">
        <f t="shared" si="28"/>
        <v>25000</v>
      </c>
      <c r="O380" s="20">
        <f t="shared" si="28"/>
        <v>25000</v>
      </c>
      <c r="P380" s="20">
        <f t="shared" si="28"/>
        <v>25000</v>
      </c>
    </row>
    <row r="381" spans="1:16" ht="12.75" customHeight="1" x14ac:dyDescent="0.25">
      <c r="A381" s="266" t="s">
        <v>144</v>
      </c>
      <c r="B381" s="266"/>
      <c r="C381" s="22"/>
      <c r="D381" s="22"/>
      <c r="E381" s="141"/>
      <c r="F381" s="141"/>
      <c r="G381" s="177">
        <f t="shared" si="24"/>
        <v>0</v>
      </c>
      <c r="H381" s="76">
        <f t="shared" si="24"/>
        <v>0</v>
      </c>
      <c r="I381" s="76">
        <f t="shared" si="24"/>
        <v>0</v>
      </c>
      <c r="J381" s="76">
        <f t="shared" ref="J381:P381" si="29">J364+J372</f>
        <v>0</v>
      </c>
      <c r="K381" s="76">
        <f t="shared" si="29"/>
        <v>0</v>
      </c>
      <c r="L381" s="76">
        <f t="shared" si="29"/>
        <v>0</v>
      </c>
      <c r="M381" s="76">
        <f t="shared" si="29"/>
        <v>0</v>
      </c>
      <c r="N381" s="76">
        <f t="shared" si="29"/>
        <v>0</v>
      </c>
      <c r="O381" s="76">
        <f t="shared" si="29"/>
        <v>0</v>
      </c>
      <c r="P381" s="76">
        <f t="shared" si="29"/>
        <v>0</v>
      </c>
    </row>
    <row r="382" spans="1:16" ht="12.75" customHeight="1" x14ac:dyDescent="0.25">
      <c r="A382" s="72" t="s">
        <v>129</v>
      </c>
      <c r="B382" s="72"/>
      <c r="C382" s="29"/>
      <c r="D382" s="29"/>
      <c r="E382" s="344"/>
      <c r="F382" s="344"/>
      <c r="G382" s="345">
        <f>SUM(G377:G381)</f>
        <v>0</v>
      </c>
      <c r="H382" s="346">
        <f>SUM(H377:H381)</f>
        <v>25000</v>
      </c>
      <c r="I382" s="346">
        <f>SUM(I377:I381)</f>
        <v>25000</v>
      </c>
      <c r="J382" s="346">
        <f t="shared" ref="J382:P382" si="30">SUM(J377:J381)</f>
        <v>25000</v>
      </c>
      <c r="K382" s="346">
        <f t="shared" si="30"/>
        <v>25000</v>
      </c>
      <c r="L382" s="346">
        <f t="shared" si="30"/>
        <v>25000</v>
      </c>
      <c r="M382" s="346">
        <f t="shared" si="30"/>
        <v>25000</v>
      </c>
      <c r="N382" s="346">
        <f t="shared" si="30"/>
        <v>25000</v>
      </c>
      <c r="O382" s="346">
        <f t="shared" si="30"/>
        <v>25000</v>
      </c>
      <c r="P382" s="346">
        <f t="shared" si="30"/>
        <v>25000</v>
      </c>
    </row>
    <row r="383" spans="1:16" ht="12.75" customHeight="1" thickBot="1" x14ac:dyDescent="0.3">
      <c r="A383" s="14"/>
      <c r="B383" s="7"/>
      <c r="C383" s="7"/>
      <c r="D383" s="7"/>
      <c r="E383" s="15"/>
      <c r="F383" s="15"/>
      <c r="G383" s="155"/>
      <c r="H383" s="15"/>
      <c r="I383" s="15"/>
      <c r="J383" s="15"/>
      <c r="K383" s="15"/>
      <c r="L383" s="15"/>
      <c r="M383" s="15"/>
      <c r="N383" s="15"/>
      <c r="O383" s="15"/>
      <c r="P383" s="15"/>
    </row>
    <row r="384" spans="1:16" ht="12.75" customHeight="1" x14ac:dyDescent="0.25">
      <c r="A384" s="16"/>
      <c r="B384" s="3"/>
      <c r="C384" s="3"/>
      <c r="D384" s="3"/>
      <c r="E384" s="13"/>
      <c r="F384" s="13"/>
      <c r="G384" s="423"/>
      <c r="H384" s="13"/>
      <c r="I384" s="13"/>
      <c r="J384" s="13"/>
      <c r="K384" s="13"/>
    </row>
    <row r="385" spans="1:11" ht="12.75" customHeight="1" x14ac:dyDescent="0.25">
      <c r="A385" s="16"/>
      <c r="B385" s="3"/>
      <c r="C385" s="3"/>
      <c r="D385" s="3"/>
      <c r="E385" s="13"/>
      <c r="F385" s="13"/>
      <c r="G385" s="13"/>
      <c r="H385" s="13"/>
      <c r="I385" s="13"/>
      <c r="J385" s="13"/>
      <c r="K385" s="13"/>
    </row>
    <row r="386" spans="1:11" ht="12.75" customHeight="1" x14ac:dyDescent="0.25">
      <c r="A386" s="16"/>
      <c r="B386" s="3"/>
      <c r="C386" s="3"/>
      <c r="D386" s="3"/>
      <c r="E386" s="13"/>
      <c r="F386" s="13"/>
      <c r="G386" s="13"/>
      <c r="H386" s="13"/>
      <c r="I386" s="13"/>
      <c r="J386" s="13"/>
      <c r="K386" s="64"/>
    </row>
  </sheetData>
  <mergeCells count="3">
    <mergeCell ref="A5:C5"/>
    <mergeCell ref="A357:C357"/>
    <mergeCell ref="A181:C181"/>
  </mergeCells>
  <phoneticPr fontId="0" type="noConversion"/>
  <printOptions horizontalCentered="1" verticalCentered="1"/>
  <pageMargins left="0.6" right="0.6" top="0.5" bottom="0.5" header="0" footer="0"/>
  <pageSetup scale="87" fitToHeight="0"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7">
    <tabColor indexed="47"/>
    <pageSetUpPr fitToPage="1"/>
  </sheetPr>
  <dimension ref="A1:Q180"/>
  <sheetViews>
    <sheetView zoomScale="96" zoomScaleNormal="100" workbookViewId="0">
      <selection activeCell="A156" sqref="A156"/>
    </sheetView>
  </sheetViews>
  <sheetFormatPr defaultRowHeight="12.75" customHeight="1" x14ac:dyDescent="0.25"/>
  <cols>
    <col min="1" max="1" width="11.6640625" customWidth="1"/>
    <col min="2" max="4" width="10.6640625" customWidth="1"/>
    <col min="5" max="17" width="12.6640625" customWidth="1"/>
  </cols>
  <sheetData>
    <row r="1" spans="1:17" ht="12.75" customHeight="1" x14ac:dyDescent="0.25">
      <c r="A1" s="77" t="s">
        <v>243</v>
      </c>
      <c r="B1" s="3"/>
      <c r="C1" s="3"/>
      <c r="D1" s="3"/>
      <c r="E1" s="13"/>
      <c r="F1" s="13"/>
      <c r="G1" s="13"/>
      <c r="H1" s="13"/>
      <c r="I1" s="65"/>
      <c r="J1" s="63"/>
      <c r="K1" s="63"/>
      <c r="L1" s="64"/>
    </row>
    <row r="2" spans="1:17" ht="12.75" customHeight="1" x14ac:dyDescent="0.25">
      <c r="A2" s="77" t="s">
        <v>151</v>
      </c>
      <c r="B2" s="3"/>
      <c r="C2" s="3"/>
      <c r="D2" s="3"/>
      <c r="E2" s="13"/>
      <c r="F2" s="13"/>
      <c r="G2" s="13"/>
      <c r="H2" s="65"/>
      <c r="I2" s="13"/>
      <c r="J2" s="13"/>
      <c r="K2" s="13"/>
      <c r="L2" s="3"/>
    </row>
    <row r="3" spans="1:17" ht="12.75" customHeight="1" x14ac:dyDescent="0.25">
      <c r="A3" s="77" t="s">
        <v>41</v>
      </c>
      <c r="B3" s="3"/>
      <c r="C3" s="3"/>
      <c r="D3" s="67"/>
      <c r="E3" s="13"/>
      <c r="F3" s="13"/>
      <c r="G3" s="13"/>
      <c r="H3" s="65"/>
      <c r="I3" s="13"/>
      <c r="J3" s="13"/>
      <c r="K3" s="13"/>
      <c r="L3" s="3"/>
    </row>
    <row r="4" spans="1:17" ht="12.75" customHeight="1" thickBot="1" x14ac:dyDescent="0.3">
      <c r="A4" s="78" t="s">
        <v>428</v>
      </c>
      <c r="B4" s="7"/>
      <c r="C4" s="7"/>
      <c r="D4" s="7"/>
      <c r="E4" s="15"/>
      <c r="F4" s="15"/>
      <c r="G4" s="15"/>
      <c r="H4" s="200"/>
      <c r="I4" s="27"/>
      <c r="J4" s="27"/>
      <c r="K4" s="27"/>
      <c r="L4" s="7"/>
    </row>
    <row r="5" spans="1:17" ht="12.75" customHeight="1" x14ac:dyDescent="0.25">
      <c r="A5" s="646" t="s">
        <v>215</v>
      </c>
      <c r="B5" s="646"/>
      <c r="C5" s="646"/>
      <c r="D5" s="242"/>
      <c r="E5" s="281">
        <f>Sum!E$5</f>
        <v>2023</v>
      </c>
      <c r="F5" s="281">
        <f>Sum!F$5</f>
        <v>2024</v>
      </c>
      <c r="G5" s="282">
        <f>Sum!G$5</f>
        <v>2025</v>
      </c>
      <c r="H5" s="281">
        <f>Sum!H$5</f>
        <v>2026</v>
      </c>
      <c r="I5" s="281">
        <f>Sum!I$5</f>
        <v>2027</v>
      </c>
      <c r="J5" s="281">
        <f>Sum!J$5</f>
        <v>2028</v>
      </c>
      <c r="K5" s="281">
        <f>Sum!K$5</f>
        <v>2029</v>
      </c>
      <c r="L5" s="281">
        <f>Sum!L$5</f>
        <v>2030</v>
      </c>
      <c r="M5" s="281">
        <f>Sum!M$5</f>
        <v>2031</v>
      </c>
      <c r="N5" s="281">
        <f>Sum!N$5</f>
        <v>2032</v>
      </c>
      <c r="O5" s="281">
        <f>Sum!O$5</f>
        <v>2033</v>
      </c>
      <c r="P5" s="281">
        <f>Sum!P$5</f>
        <v>2034</v>
      </c>
      <c r="Q5" s="265" t="s">
        <v>224</v>
      </c>
    </row>
    <row r="6" spans="1:17" ht="12.75" customHeight="1" x14ac:dyDescent="0.25">
      <c r="A6" s="16"/>
      <c r="B6" s="3"/>
      <c r="C6" s="3"/>
      <c r="D6" s="3"/>
      <c r="E6" s="13"/>
      <c r="F6" s="13"/>
      <c r="G6" s="153"/>
      <c r="H6" s="13"/>
      <c r="I6" s="13"/>
      <c r="J6" s="13"/>
      <c r="K6" s="13"/>
      <c r="L6" s="13"/>
      <c r="M6" s="13"/>
      <c r="N6" s="13"/>
      <c r="O6" s="13"/>
      <c r="P6" s="13"/>
      <c r="Q6" s="3"/>
    </row>
    <row r="7" spans="1:17" ht="12.75" customHeight="1" x14ac:dyDescent="0.25">
      <c r="A7" s="77" t="s">
        <v>185</v>
      </c>
      <c r="B7" s="3"/>
      <c r="C7" s="3"/>
      <c r="D7" s="3"/>
      <c r="E7" s="20"/>
      <c r="F7" s="13"/>
      <c r="G7" s="172"/>
      <c r="H7" s="13">
        <f>G71</f>
        <v>0</v>
      </c>
      <c r="I7" s="13">
        <f t="shared" ref="I7:P7" si="0">H71</f>
        <v>0</v>
      </c>
      <c r="J7" s="13">
        <f t="shared" si="0"/>
        <v>0</v>
      </c>
      <c r="K7" s="13">
        <f t="shared" si="0"/>
        <v>0</v>
      </c>
      <c r="L7" s="13">
        <f t="shared" si="0"/>
        <v>0</v>
      </c>
      <c r="M7" s="13">
        <f t="shared" si="0"/>
        <v>0</v>
      </c>
      <c r="N7" s="13">
        <f t="shared" si="0"/>
        <v>0</v>
      </c>
      <c r="O7" s="13">
        <f t="shared" si="0"/>
        <v>0</v>
      </c>
      <c r="P7" s="13">
        <f t="shared" si="0"/>
        <v>0</v>
      </c>
      <c r="Q7" s="3"/>
    </row>
    <row r="8" spans="1:17" ht="12.75" customHeight="1" x14ac:dyDescent="0.25">
      <c r="A8" s="77"/>
      <c r="B8" s="3"/>
      <c r="C8" s="3"/>
      <c r="D8" s="3"/>
      <c r="E8" s="20"/>
      <c r="F8" s="13"/>
      <c r="G8" s="153"/>
      <c r="H8" s="13"/>
      <c r="I8" s="13"/>
      <c r="J8" s="13"/>
      <c r="K8" s="13"/>
      <c r="L8" s="13"/>
      <c r="M8" s="13"/>
      <c r="N8" s="13"/>
      <c r="O8" s="13"/>
      <c r="P8" s="13"/>
      <c r="Q8" s="3"/>
    </row>
    <row r="9" spans="1:17" ht="12.75" customHeight="1" x14ac:dyDescent="0.25">
      <c r="A9" s="77" t="s">
        <v>227</v>
      </c>
      <c r="B9" s="3"/>
      <c r="C9" s="3"/>
      <c r="D9" s="3"/>
      <c r="E9" s="20"/>
      <c r="F9" s="13"/>
      <c r="G9" s="153"/>
      <c r="H9" s="13"/>
      <c r="I9" s="13"/>
      <c r="J9" s="13"/>
      <c r="K9" s="13"/>
      <c r="L9" s="13"/>
      <c r="M9" s="13"/>
      <c r="N9" s="13"/>
      <c r="O9" s="13"/>
      <c r="P9" s="13"/>
      <c r="Q9" s="3"/>
    </row>
    <row r="10" spans="1:17" ht="12.75" customHeight="1" x14ac:dyDescent="0.25">
      <c r="A10" s="62"/>
      <c r="B10" s="3" t="s">
        <v>267</v>
      </c>
      <c r="C10" s="3"/>
      <c r="D10" s="3"/>
      <c r="E10" s="12"/>
      <c r="F10" s="12"/>
      <c r="G10" s="172">
        <f>G67</f>
        <v>0</v>
      </c>
      <c r="H10" s="13">
        <f t="shared" ref="H10" si="1">H67</f>
        <v>1425000</v>
      </c>
      <c r="I10" s="13">
        <f t="shared" ref="I10:P10" si="2">I67</f>
        <v>375000</v>
      </c>
      <c r="J10" s="13">
        <f t="shared" si="2"/>
        <v>675000</v>
      </c>
      <c r="K10" s="13">
        <f t="shared" si="2"/>
        <v>25000</v>
      </c>
      <c r="L10" s="13">
        <f t="shared" si="2"/>
        <v>25000</v>
      </c>
      <c r="M10" s="13">
        <f t="shared" si="2"/>
        <v>25000</v>
      </c>
      <c r="N10" s="13">
        <f t="shared" si="2"/>
        <v>25000</v>
      </c>
      <c r="O10" s="13">
        <f t="shared" si="2"/>
        <v>25000</v>
      </c>
      <c r="P10" s="13">
        <f t="shared" si="2"/>
        <v>25000</v>
      </c>
      <c r="Q10" s="3"/>
    </row>
    <row r="11" spans="1:17" ht="12.75" customHeight="1" x14ac:dyDescent="0.25">
      <c r="A11" s="62"/>
      <c r="B11" s="3"/>
      <c r="C11" s="3"/>
      <c r="D11" s="3"/>
      <c r="E11" s="12"/>
      <c r="F11" s="12"/>
      <c r="G11" s="172"/>
      <c r="H11" s="13"/>
      <c r="I11" s="13"/>
      <c r="J11" s="13"/>
      <c r="K11" s="13"/>
      <c r="L11" s="13"/>
      <c r="M11" s="13"/>
      <c r="N11" s="13"/>
      <c r="O11" s="13"/>
      <c r="P11" s="13"/>
      <c r="Q11" s="3"/>
    </row>
    <row r="12" spans="1:17" ht="12.75" customHeight="1" x14ac:dyDescent="0.25">
      <c r="A12" s="62"/>
      <c r="B12" s="3"/>
      <c r="C12" s="3"/>
      <c r="D12" s="3"/>
      <c r="E12" s="12"/>
      <c r="F12" s="12"/>
      <c r="G12" s="172"/>
      <c r="H12" s="13"/>
      <c r="I12" s="13"/>
      <c r="J12" s="13"/>
      <c r="K12" s="13"/>
      <c r="L12" s="13"/>
      <c r="M12" s="13"/>
      <c r="N12" s="13"/>
      <c r="O12" s="13"/>
      <c r="P12" s="13"/>
      <c r="Q12" s="3"/>
    </row>
    <row r="13" spans="1:17" ht="12.75" customHeight="1" x14ac:dyDescent="0.25">
      <c r="A13" s="62"/>
      <c r="B13" s="22"/>
      <c r="C13" s="22"/>
      <c r="D13" s="22"/>
      <c r="E13" s="87"/>
      <c r="F13" s="87"/>
      <c r="G13" s="173"/>
      <c r="H13" s="30"/>
      <c r="I13" s="30"/>
      <c r="J13" s="30"/>
      <c r="K13" s="30"/>
      <c r="L13" s="30"/>
      <c r="M13" s="30"/>
      <c r="N13" s="30"/>
      <c r="O13" s="30"/>
      <c r="P13" s="30"/>
      <c r="Q13" s="3"/>
    </row>
    <row r="14" spans="1:17" ht="12.75" customHeight="1" x14ac:dyDescent="0.25">
      <c r="A14" s="77"/>
      <c r="B14" s="29" t="s">
        <v>238</v>
      </c>
      <c r="C14" s="29"/>
      <c r="D14" s="29"/>
      <c r="E14" s="346">
        <f t="shared" ref="E14:H14" si="3">SUM(E10:E13)</f>
        <v>0</v>
      </c>
      <c r="F14" s="346">
        <f t="shared" si="3"/>
        <v>0</v>
      </c>
      <c r="G14" s="176">
        <f t="shared" si="3"/>
        <v>0</v>
      </c>
      <c r="H14" s="149">
        <f t="shared" si="3"/>
        <v>1425000</v>
      </c>
      <c r="I14" s="149">
        <f t="shared" ref="I14:P14" si="4">SUM(I10:I13)</f>
        <v>375000</v>
      </c>
      <c r="J14" s="149">
        <f t="shared" si="4"/>
        <v>675000</v>
      </c>
      <c r="K14" s="149">
        <f t="shared" si="4"/>
        <v>25000</v>
      </c>
      <c r="L14" s="149">
        <f t="shared" si="4"/>
        <v>25000</v>
      </c>
      <c r="M14" s="149">
        <f t="shared" si="4"/>
        <v>25000</v>
      </c>
      <c r="N14" s="149">
        <f t="shared" si="4"/>
        <v>25000</v>
      </c>
      <c r="O14" s="149">
        <f t="shared" si="4"/>
        <v>25000</v>
      </c>
      <c r="P14" s="149">
        <f t="shared" si="4"/>
        <v>25000</v>
      </c>
      <c r="Q14" s="3"/>
    </row>
    <row r="15" spans="1:17" ht="12.75" customHeight="1" x14ac:dyDescent="0.25">
      <c r="A15" s="16"/>
      <c r="B15" s="3"/>
      <c r="C15" s="3"/>
      <c r="D15" s="3"/>
      <c r="E15" s="13"/>
      <c r="F15" s="13"/>
      <c r="G15" s="153"/>
      <c r="H15" s="13"/>
      <c r="I15" s="13"/>
      <c r="J15" s="13"/>
      <c r="K15" s="13"/>
      <c r="L15" s="13"/>
      <c r="M15" s="13"/>
      <c r="N15" s="13"/>
      <c r="O15" s="13"/>
      <c r="P15" s="13"/>
      <c r="Q15" s="3"/>
    </row>
    <row r="16" spans="1:17" ht="12.75" customHeight="1" x14ac:dyDescent="0.25">
      <c r="A16" s="77" t="s">
        <v>228</v>
      </c>
      <c r="B16" s="3"/>
      <c r="C16" s="3"/>
      <c r="D16" s="3"/>
      <c r="E16" s="13"/>
      <c r="F16" s="13"/>
      <c r="G16" s="153"/>
      <c r="H16" s="13"/>
      <c r="I16" s="13"/>
      <c r="J16" s="13"/>
      <c r="K16" s="13"/>
      <c r="L16" s="13"/>
      <c r="M16" s="13"/>
      <c r="N16" s="13"/>
      <c r="O16" s="13"/>
      <c r="P16" s="13"/>
      <c r="Q16" s="3"/>
    </row>
    <row r="17" spans="1:17" ht="12.75" customHeight="1" x14ac:dyDescent="0.25">
      <c r="A17" s="18"/>
      <c r="B17" s="306" t="str">
        <f>IF(AND(Sum!$F549="Yes",Sum!$G549="Cash"),Sum!$B549,"")</f>
        <v/>
      </c>
      <c r="C17" s="13"/>
      <c r="D17" s="13"/>
      <c r="E17" s="13"/>
      <c r="F17" s="13"/>
      <c r="G17" s="153">
        <f>IF(AND(Sum!$F549="Yes",Sum!$G549="Cash",Sum!H$548=G$5),Sum!H549,0)</f>
        <v>0</v>
      </c>
      <c r="H17" s="13">
        <f>IF(AND(Sum!$F549="Yes",Sum!$G549="Cash",Sum!I$548=H$5),Sum!I549,0)</f>
        <v>0</v>
      </c>
      <c r="I17" s="13">
        <f>IF(AND(Sum!$F549="Yes",Sum!$G549="Cash",Sum!J$548=I$5),Sum!J549,0)</f>
        <v>0</v>
      </c>
      <c r="J17" s="13">
        <f>IF(AND(Sum!$F549="Yes",Sum!$G549="Cash",Sum!K$548=J$5),Sum!K549,0)</f>
        <v>0</v>
      </c>
      <c r="K17" s="13">
        <f>IF(AND(Sum!$F549="Yes",Sum!$G549="Cash",Sum!L$548=K$5),Sum!L549,0)</f>
        <v>0</v>
      </c>
      <c r="L17" s="13">
        <f>IF(AND(Sum!$F549="Yes",Sum!$G549="Cash",Sum!M$548=L$5),Sum!M549,0)</f>
        <v>0</v>
      </c>
      <c r="M17" s="13">
        <f>IF(AND(Sum!$F549="Yes",Sum!$G549="Cash",Sum!N$548=M$5),Sum!N549,0)</f>
        <v>0</v>
      </c>
      <c r="N17" s="13">
        <f>IF(AND(Sum!$F549="Yes",Sum!$G549="Cash",Sum!O$548=N$5),Sum!O549,0)</f>
        <v>0</v>
      </c>
      <c r="O17" s="13">
        <f>IF(AND(Sum!$F549="Yes",Sum!$G549="Cash",Sum!P$548=O$5),Sum!P549,0)</f>
        <v>0</v>
      </c>
      <c r="P17" s="13">
        <f>IF(AND(Sum!$F549="Yes",Sum!$G549="Cash",Sum!Q$548=P$5),Sum!Q549,0)</f>
        <v>0</v>
      </c>
      <c r="Q17" s="264" t="str">
        <f>IF(AND(Sum!$F549="Yes",Sum!$G549="Cash"),Sum!$E549,"")</f>
        <v/>
      </c>
    </row>
    <row r="18" spans="1:17" ht="12.75" customHeight="1" x14ac:dyDescent="0.25">
      <c r="A18" s="18"/>
      <c r="B18" s="306" t="str">
        <f>IF(AND(Sum!$F550="Yes",Sum!$G550="Cash"),Sum!$B550,"")</f>
        <v/>
      </c>
      <c r="C18" s="3"/>
      <c r="D18" s="3"/>
      <c r="E18" s="13"/>
      <c r="F18" s="13"/>
      <c r="G18" s="153">
        <f>IF(AND(Sum!$F550="Yes",Sum!$G550="Cash",Sum!H$548=G$5),Sum!H550,0)</f>
        <v>0</v>
      </c>
      <c r="H18" s="13">
        <f>IF(AND(Sum!$F550="Yes",Sum!$G550="Cash",Sum!I$548=H$5),Sum!I550,0)</f>
        <v>0</v>
      </c>
      <c r="I18" s="13">
        <f>IF(AND(Sum!$F550="Yes",Sum!$G550="Cash",Sum!J$548=I$5),Sum!J550,0)</f>
        <v>0</v>
      </c>
      <c r="J18" s="13">
        <f>IF(AND(Sum!$F550="Yes",Sum!$G550="Cash",Sum!K$548=J$5),Sum!K550,0)</f>
        <v>0</v>
      </c>
      <c r="K18" s="13">
        <f>IF(AND(Sum!$F550="Yes",Sum!$G550="Cash",Sum!L$548=K$5),Sum!L550,0)</f>
        <v>0</v>
      </c>
      <c r="L18" s="13">
        <f>IF(AND(Sum!$F550="Yes",Sum!$G550="Cash",Sum!M$548=L$5),Sum!M550,0)</f>
        <v>0</v>
      </c>
      <c r="M18" s="13">
        <f>IF(AND(Sum!$F550="Yes",Sum!$G550="Cash",Sum!N$548=M$5),Sum!N550,0)</f>
        <v>0</v>
      </c>
      <c r="N18" s="13">
        <f>IF(AND(Sum!$F550="Yes",Sum!$G550="Cash",Sum!O$548=N$5),Sum!O550,0)</f>
        <v>0</v>
      </c>
      <c r="O18" s="13">
        <f>IF(AND(Sum!$F550="Yes",Sum!$G550="Cash",Sum!P$548=O$5),Sum!P550,0)</f>
        <v>0</v>
      </c>
      <c r="P18" s="13">
        <f>IF(AND(Sum!$F550="Yes",Sum!$G550="Cash",Sum!Q$548=P$5),Sum!Q550,0)</f>
        <v>0</v>
      </c>
      <c r="Q18" s="264" t="str">
        <f>IF(AND(Sum!$F550="Yes",Sum!$G550="Cash"),Sum!$E550,"")</f>
        <v/>
      </c>
    </row>
    <row r="19" spans="1:17" ht="12.75" customHeight="1" x14ac:dyDescent="0.25">
      <c r="A19" s="18"/>
      <c r="B19" s="306" t="str">
        <f>IF(AND(Sum!$F551="Yes",Sum!$G551="Cash"),Sum!$B551,"")</f>
        <v/>
      </c>
      <c r="C19" s="3"/>
      <c r="D19" s="3"/>
      <c r="E19" s="13"/>
      <c r="F19" s="13"/>
      <c r="G19" s="153">
        <f>IF(AND(Sum!$F551="Yes",Sum!$G551="Cash",Sum!H$548=G$5),Sum!H551,0)</f>
        <v>0</v>
      </c>
      <c r="H19" s="13">
        <f>IF(AND(Sum!$F551="Yes",Sum!$G551="Cash",Sum!I$548=H$5),Sum!I551,0)</f>
        <v>0</v>
      </c>
      <c r="I19" s="13">
        <f>IF(AND(Sum!$F551="Yes",Sum!$G551="Cash",Sum!J$548=I$5),Sum!J551,0)</f>
        <v>0</v>
      </c>
      <c r="J19" s="13">
        <f>IF(AND(Sum!$F551="Yes",Sum!$G551="Cash",Sum!K$548=J$5),Sum!K551,0)</f>
        <v>0</v>
      </c>
      <c r="K19" s="13">
        <f>IF(AND(Sum!$F551="Yes",Sum!$G551="Cash",Sum!L$548=K$5),Sum!L551,0)</f>
        <v>0</v>
      </c>
      <c r="L19" s="13">
        <f>IF(AND(Sum!$F551="Yes",Sum!$G551="Cash",Sum!M$548=L$5),Sum!M551,0)</f>
        <v>0</v>
      </c>
      <c r="M19" s="13">
        <f>IF(AND(Sum!$F551="Yes",Sum!$G551="Cash",Sum!N$548=M$5),Sum!N551,0)</f>
        <v>0</v>
      </c>
      <c r="N19" s="13">
        <f>IF(AND(Sum!$F551="Yes",Sum!$G551="Cash",Sum!O$548=N$5),Sum!O551,0)</f>
        <v>0</v>
      </c>
      <c r="O19" s="13">
        <f>IF(AND(Sum!$F551="Yes",Sum!$G551="Cash",Sum!P$548=O$5),Sum!P551,0)</f>
        <v>0</v>
      </c>
      <c r="P19" s="13">
        <f>IF(AND(Sum!$F551="Yes",Sum!$G551="Cash",Sum!Q$548=P$5),Sum!Q551,0)</f>
        <v>0</v>
      </c>
      <c r="Q19" s="264" t="str">
        <f>IF(AND(Sum!$F551="Yes",Sum!$G551="Cash"),Sum!$E551,"")</f>
        <v/>
      </c>
    </row>
    <row r="20" spans="1:17" ht="12.75" customHeight="1" x14ac:dyDescent="0.25">
      <c r="A20" s="18"/>
      <c r="B20" s="306" t="str">
        <f>IF(AND(Sum!$F552="Yes",Sum!$G552="Cash"),Sum!$B552,"")</f>
        <v/>
      </c>
      <c r="C20" s="3"/>
      <c r="D20" s="3"/>
      <c r="E20" s="13"/>
      <c r="F20" s="13"/>
      <c r="G20" s="153">
        <f>IF(AND(Sum!$F552="Yes",Sum!$G552="Cash",Sum!H$548=G$5),Sum!H552,0)</f>
        <v>0</v>
      </c>
      <c r="H20" s="13">
        <f>IF(AND(Sum!$F552="Yes",Sum!$G552="Cash",Sum!I$548=H$5),Sum!I552,0)</f>
        <v>0</v>
      </c>
      <c r="I20" s="13">
        <f>IF(AND(Sum!$F552="Yes",Sum!$G552="Cash",Sum!J$548=I$5),Sum!J552,0)</f>
        <v>0</v>
      </c>
      <c r="J20" s="13">
        <f>IF(AND(Sum!$F552="Yes",Sum!$G552="Cash",Sum!K$548=J$5),Sum!K552,0)</f>
        <v>0</v>
      </c>
      <c r="K20" s="13">
        <f>IF(AND(Sum!$F552="Yes",Sum!$G552="Cash",Sum!L$548=K$5),Sum!L552,0)</f>
        <v>0</v>
      </c>
      <c r="L20" s="13">
        <f>IF(AND(Sum!$F552="Yes",Sum!$G552="Cash",Sum!M$548=L$5),Sum!M552,0)</f>
        <v>0</v>
      </c>
      <c r="M20" s="13">
        <f>IF(AND(Sum!$F552="Yes",Sum!$G552="Cash",Sum!N$548=M$5),Sum!N552,0)</f>
        <v>0</v>
      </c>
      <c r="N20" s="13">
        <f>IF(AND(Sum!$F552="Yes",Sum!$G552="Cash",Sum!O$548=N$5),Sum!O552,0)</f>
        <v>0</v>
      </c>
      <c r="O20" s="13">
        <f>IF(AND(Sum!$F552="Yes",Sum!$G552="Cash",Sum!P$548=O$5),Sum!P552,0)</f>
        <v>0</v>
      </c>
      <c r="P20" s="13">
        <f>IF(AND(Sum!$F552="Yes",Sum!$G552="Cash",Sum!Q$548=P$5),Sum!Q552,0)</f>
        <v>0</v>
      </c>
      <c r="Q20" s="264" t="str">
        <f>IF(AND(Sum!$F552="Yes",Sum!$G552="Cash"),Sum!$E552,"")</f>
        <v/>
      </c>
    </row>
    <row r="21" spans="1:17" ht="12.75" customHeight="1" x14ac:dyDescent="0.25">
      <c r="A21" s="18"/>
      <c r="B21" s="306" t="str">
        <f>IF(AND(Sum!$F553="Yes",Sum!$G553="Cash"),Sum!$B553,"")</f>
        <v>Professional Plaza / Club DeLuxe LS Upgrade</v>
      </c>
      <c r="C21" s="3"/>
      <c r="D21" s="3"/>
      <c r="E21" s="13"/>
      <c r="F21" s="13"/>
      <c r="G21" s="153">
        <f>IF(AND(Sum!$F553="Yes",Sum!$G553="Cash",Sum!H$548=G$5),Sum!H553,0)</f>
        <v>0</v>
      </c>
      <c r="H21" s="13">
        <f>IF(AND(Sum!$F553="Yes",Sum!$G553="Cash",Sum!I$548=H$5),Sum!I553,0)</f>
        <v>200000</v>
      </c>
      <c r="I21" s="13">
        <f>IF(AND(Sum!$F553="Yes",Sum!$G553="Cash",Sum!J$548=I$5),Sum!J553,0)</f>
        <v>0</v>
      </c>
      <c r="J21" s="13">
        <f>IF(AND(Sum!$F553="Yes",Sum!$G553="Cash",Sum!K$548=J$5),Sum!K553,0)</f>
        <v>0</v>
      </c>
      <c r="K21" s="13">
        <f>IF(AND(Sum!$F553="Yes",Sum!$G553="Cash",Sum!L$548=K$5),Sum!L553,0)</f>
        <v>0</v>
      </c>
      <c r="L21" s="13">
        <f>IF(AND(Sum!$F553="Yes",Sum!$G553="Cash",Sum!M$548=L$5),Sum!M553,0)</f>
        <v>0</v>
      </c>
      <c r="M21" s="13">
        <f>IF(AND(Sum!$F553="Yes",Sum!$G553="Cash",Sum!N$548=M$5),Sum!N553,0)</f>
        <v>0</v>
      </c>
      <c r="N21" s="13">
        <f>IF(AND(Sum!$F553="Yes",Sum!$G553="Cash",Sum!O$548=N$5),Sum!O553,0)</f>
        <v>0</v>
      </c>
      <c r="O21" s="13">
        <f>IF(AND(Sum!$F553="Yes",Sum!$G553="Cash",Sum!P$548=O$5),Sum!P553,0)</f>
        <v>0</v>
      </c>
      <c r="P21" s="13">
        <f>IF(AND(Sum!$F553="Yes",Sum!$G553="Cash",Sum!Q$548=P$5),Sum!Q553,0)</f>
        <v>0</v>
      </c>
      <c r="Q21" s="264" t="str">
        <f>IF(AND(Sum!$F553="Yes",Sum!$G553="Cash"),Sum!$E553,"")</f>
        <v>Pumping &amp; Interceptors</v>
      </c>
    </row>
    <row r="22" spans="1:17" ht="12.75" customHeight="1" x14ac:dyDescent="0.25">
      <c r="A22" s="18"/>
      <c r="B22" s="306" t="str">
        <f>IF(AND(Sum!$F554="Yes",Sum!$G554="Cash"),Sum!$B554,"")</f>
        <v>University / Tornado</v>
      </c>
      <c r="C22" s="3"/>
      <c r="D22" s="3"/>
      <c r="E22" s="13"/>
      <c r="F22" s="13"/>
      <c r="G22" s="153">
        <f>IF(AND(Sum!$F554="Yes",Sum!$G554="Cash",Sum!H$548=G$5),Sum!H554,0)</f>
        <v>0</v>
      </c>
      <c r="H22" s="13">
        <f>IF(AND(Sum!$F554="Yes",Sum!$G554="Cash",Sum!I$548=H$5),Sum!I554,0)</f>
        <v>250000</v>
      </c>
      <c r="I22" s="13">
        <f>IF(AND(Sum!$F554="Yes",Sum!$G554="Cash",Sum!J$548=I$5),Sum!J554,0)</f>
        <v>0</v>
      </c>
      <c r="J22" s="13">
        <f>IF(AND(Sum!$F554="Yes",Sum!$G554="Cash",Sum!K$548=J$5),Sum!K554,0)</f>
        <v>0</v>
      </c>
      <c r="K22" s="13">
        <f>IF(AND(Sum!$F554="Yes",Sum!$G554="Cash",Sum!L$548=K$5),Sum!L554,0)</f>
        <v>0</v>
      </c>
      <c r="L22" s="13">
        <f>IF(AND(Sum!$F554="Yes",Sum!$G554="Cash",Sum!M$548=L$5),Sum!M554,0)</f>
        <v>0</v>
      </c>
      <c r="M22" s="13">
        <f>IF(AND(Sum!$F554="Yes",Sum!$G554="Cash",Sum!N$548=M$5),Sum!N554,0)</f>
        <v>0</v>
      </c>
      <c r="N22" s="13">
        <f>IF(AND(Sum!$F554="Yes",Sum!$G554="Cash",Sum!O$548=N$5),Sum!O554,0)</f>
        <v>0</v>
      </c>
      <c r="O22" s="13">
        <f>IF(AND(Sum!$F554="Yes",Sum!$G554="Cash",Sum!P$548=O$5),Sum!P554,0)</f>
        <v>0</v>
      </c>
      <c r="P22" s="13">
        <f>IF(AND(Sum!$F554="Yes",Sum!$G554="Cash",Sum!Q$548=P$5),Sum!Q554,0)</f>
        <v>0</v>
      </c>
      <c r="Q22" s="264" t="str">
        <f>IF(AND(Sum!$F554="Yes",Sum!$G554="Cash"),Sum!$E554,"")</f>
        <v>Pumping &amp; Interceptors</v>
      </c>
    </row>
    <row r="23" spans="1:17" ht="12.75" customHeight="1" x14ac:dyDescent="0.25">
      <c r="A23" s="18"/>
      <c r="B23" s="306" t="str">
        <f>IF(AND(Sum!$F555="Yes",Sum!$G555="Cash"),Sum!$B555,"")</f>
        <v>Casey Road at Vineyard</v>
      </c>
      <c r="C23" s="3"/>
      <c r="D23" s="3"/>
      <c r="E23" s="13"/>
      <c r="F23" s="13"/>
      <c r="G23" s="153">
        <f>IF(AND(Sum!$F555="Yes",Sum!$G555="Cash",Sum!H$548=G$5),Sum!H555,0)</f>
        <v>0</v>
      </c>
      <c r="H23" s="13">
        <f>IF(AND(Sum!$F555="Yes",Sum!$G555="Cash",Sum!I$548=H$5),Sum!I555,0)</f>
        <v>250000</v>
      </c>
      <c r="I23" s="13">
        <f>IF(AND(Sum!$F555="Yes",Sum!$G555="Cash",Sum!J$548=I$5),Sum!J555,0)</f>
        <v>0</v>
      </c>
      <c r="J23" s="13">
        <f>IF(AND(Sum!$F555="Yes",Sum!$G555="Cash",Sum!K$548=J$5),Sum!K555,0)</f>
        <v>0</v>
      </c>
      <c r="K23" s="13">
        <f>IF(AND(Sum!$F555="Yes",Sum!$G555="Cash",Sum!L$548=K$5),Sum!L555,0)</f>
        <v>0</v>
      </c>
      <c r="L23" s="13">
        <f>IF(AND(Sum!$F555="Yes",Sum!$G555="Cash",Sum!M$548=L$5),Sum!M555,0)</f>
        <v>0</v>
      </c>
      <c r="M23" s="13">
        <f>IF(AND(Sum!$F555="Yes",Sum!$G555="Cash",Sum!N$548=M$5),Sum!N555,0)</f>
        <v>0</v>
      </c>
      <c r="N23" s="13">
        <f>IF(AND(Sum!$F555="Yes",Sum!$G555="Cash",Sum!O$548=N$5),Sum!O555,0)</f>
        <v>0</v>
      </c>
      <c r="O23" s="13">
        <f>IF(AND(Sum!$F555="Yes",Sum!$G555="Cash",Sum!P$548=O$5),Sum!P555,0)</f>
        <v>0</v>
      </c>
      <c r="P23" s="13">
        <f>IF(AND(Sum!$F555="Yes",Sum!$G555="Cash",Sum!Q$548=P$5),Sum!Q555,0)</f>
        <v>0</v>
      </c>
      <c r="Q23" s="264" t="str">
        <f>IF(AND(Sum!$F555="Yes",Sum!$G555="Cash"),Sum!$E555,"")</f>
        <v>Pumping &amp; Interceptors</v>
      </c>
    </row>
    <row r="24" spans="1:17" ht="12.75" customHeight="1" x14ac:dyDescent="0.25">
      <c r="A24" s="18"/>
      <c r="B24" s="306" t="str">
        <f>IF(AND(Sum!$F556="Yes",Sum!$G556="Cash"),Sum!$B556,"")</f>
        <v>Maryland St LS Upgrade</v>
      </c>
      <c r="C24" s="3"/>
      <c r="D24" s="3"/>
      <c r="E24" s="13"/>
      <c r="F24" s="13"/>
      <c r="G24" s="153">
        <f>IF(AND(Sum!$F556="Yes",Sum!$G556="Cash",Sum!H$548=G$5),Sum!H556,0)</f>
        <v>0</v>
      </c>
      <c r="H24" s="13">
        <f>IF(AND(Sum!$F556="Yes",Sum!$G556="Cash",Sum!I$548=H$5),Sum!I556,0)</f>
        <v>0</v>
      </c>
      <c r="I24" s="13">
        <f>IF(AND(Sum!$F556="Yes",Sum!$G556="Cash",Sum!J$548=I$5),Sum!J556,0)</f>
        <v>150000</v>
      </c>
      <c r="J24" s="13">
        <f>IF(AND(Sum!$F556="Yes",Sum!$G556="Cash",Sum!K$548=J$5),Sum!K556,0)</f>
        <v>0</v>
      </c>
      <c r="K24" s="13">
        <f>IF(AND(Sum!$F556="Yes",Sum!$G556="Cash",Sum!L$548=K$5),Sum!L556,0)</f>
        <v>0</v>
      </c>
      <c r="L24" s="13">
        <f>IF(AND(Sum!$F556="Yes",Sum!$G556="Cash",Sum!M$548=L$5),Sum!M556,0)</f>
        <v>0</v>
      </c>
      <c r="M24" s="13">
        <f>IF(AND(Sum!$F556="Yes",Sum!$G556="Cash",Sum!N$548=M$5),Sum!N556,0)</f>
        <v>0</v>
      </c>
      <c r="N24" s="13">
        <f>IF(AND(Sum!$F556="Yes",Sum!$G556="Cash",Sum!O$548=N$5),Sum!O556,0)</f>
        <v>0</v>
      </c>
      <c r="O24" s="13">
        <f>IF(AND(Sum!$F556="Yes",Sum!$G556="Cash",Sum!P$548=O$5),Sum!P556,0)</f>
        <v>0</v>
      </c>
      <c r="P24" s="13">
        <f>IF(AND(Sum!$F556="Yes",Sum!$G556="Cash",Sum!Q$548=P$5),Sum!Q556,0)</f>
        <v>0</v>
      </c>
      <c r="Q24" s="264" t="str">
        <f>IF(AND(Sum!$F556="Yes",Sum!$G556="Cash"),Sum!$E556,"")</f>
        <v>Pumping &amp; Interceptors</v>
      </c>
    </row>
    <row r="25" spans="1:17" ht="12.75" customHeight="1" x14ac:dyDescent="0.25">
      <c r="A25" s="18"/>
      <c r="B25" s="306" t="str">
        <f>IF(AND(Sum!$F557="Yes",Sum!$G557="Cash"),Sum!$B557,"")</f>
        <v>Town &amp; Country LS Upgrade</v>
      </c>
      <c r="C25" s="3"/>
      <c r="D25" s="3"/>
      <c r="E25" s="13"/>
      <c r="F25" s="13"/>
      <c r="G25" s="153">
        <f>IF(AND(Sum!$F557="Yes",Sum!$G557="Cash",Sum!H$548=G$5),Sum!H557,0)</f>
        <v>0</v>
      </c>
      <c r="H25" s="13">
        <f>IF(AND(Sum!$F557="Yes",Sum!$G557="Cash",Sum!I$548=H$5),Sum!I557,0)</f>
        <v>0</v>
      </c>
      <c r="I25" s="13">
        <f>IF(AND(Sum!$F557="Yes",Sum!$G557="Cash",Sum!J$548=I$5),Sum!J557,0)</f>
        <v>200000</v>
      </c>
      <c r="J25" s="13">
        <f>IF(AND(Sum!$F557="Yes",Sum!$G557="Cash",Sum!K$548=J$5),Sum!K557,0)</f>
        <v>0</v>
      </c>
      <c r="K25" s="13">
        <f>IF(AND(Sum!$F557="Yes",Sum!$G557="Cash",Sum!L$548=K$5),Sum!L557,0)</f>
        <v>0</v>
      </c>
      <c r="L25" s="13">
        <f>IF(AND(Sum!$F557="Yes",Sum!$G557="Cash",Sum!M$548=L$5),Sum!M557,0)</f>
        <v>0</v>
      </c>
      <c r="M25" s="13">
        <f>IF(AND(Sum!$F557="Yes",Sum!$G557="Cash",Sum!N$548=M$5),Sum!N557,0)</f>
        <v>0</v>
      </c>
      <c r="N25" s="13">
        <f>IF(AND(Sum!$F557="Yes",Sum!$G557="Cash",Sum!O$548=N$5),Sum!O557,0)</f>
        <v>0</v>
      </c>
      <c r="O25" s="13">
        <f>IF(AND(Sum!$F557="Yes",Sum!$G557="Cash",Sum!P$548=O$5),Sum!P557,0)</f>
        <v>0</v>
      </c>
      <c r="P25" s="13">
        <f>IF(AND(Sum!$F557="Yes",Sum!$G557="Cash",Sum!Q$548=P$5),Sum!Q557,0)</f>
        <v>0</v>
      </c>
      <c r="Q25" s="264" t="str">
        <f>IF(AND(Sum!$F557="Yes",Sum!$G557="Cash"),Sum!$E557,"")</f>
        <v>Pumping &amp; Interceptors</v>
      </c>
    </row>
    <row r="26" spans="1:17" ht="12.75" customHeight="1" x14ac:dyDescent="0.25">
      <c r="A26" s="18"/>
      <c r="B26" s="306" t="str">
        <f>IF(AND(Sum!$F558="Yes",Sum!$G558="Cash"),Sum!$B558,"")</f>
        <v>E. Hanson LS Upgrade</v>
      </c>
      <c r="C26" s="3"/>
      <c r="D26" s="3"/>
      <c r="E26" s="13"/>
      <c r="F26" s="13"/>
      <c r="G26" s="153">
        <f>IF(AND(Sum!$F558="Yes",Sum!$G558="Cash",Sum!H$548=G$5),Sum!H558,0)</f>
        <v>0</v>
      </c>
      <c r="H26" s="13">
        <f>IF(AND(Sum!$F558="Yes",Sum!$G558="Cash",Sum!I$548=H$5),Sum!I558,0)</f>
        <v>0</v>
      </c>
      <c r="I26" s="13">
        <f>IF(AND(Sum!$F558="Yes",Sum!$G558="Cash",Sum!J$548=I$5),Sum!J558,0)</f>
        <v>0</v>
      </c>
      <c r="J26" s="13">
        <f>IF(AND(Sum!$F558="Yes",Sum!$G558="Cash",Sum!K$548=J$5),Sum!K558,0)</f>
        <v>650000</v>
      </c>
      <c r="K26" s="13">
        <f>IF(AND(Sum!$F558="Yes",Sum!$G558="Cash",Sum!L$548=K$5),Sum!L558,0)</f>
        <v>0</v>
      </c>
      <c r="L26" s="13">
        <f>IF(AND(Sum!$F558="Yes",Sum!$G558="Cash",Sum!M$548=L$5),Sum!M558,0)</f>
        <v>0</v>
      </c>
      <c r="M26" s="13">
        <f>IF(AND(Sum!$F558="Yes",Sum!$G558="Cash",Sum!N$548=M$5),Sum!N558,0)</f>
        <v>0</v>
      </c>
      <c r="N26" s="13">
        <f>IF(AND(Sum!$F558="Yes",Sum!$G558="Cash",Sum!O$548=N$5),Sum!O558,0)</f>
        <v>0</v>
      </c>
      <c r="O26" s="13">
        <f>IF(AND(Sum!$F558="Yes",Sum!$G558="Cash",Sum!P$548=O$5),Sum!P558,0)</f>
        <v>0</v>
      </c>
      <c r="P26" s="13">
        <f>IF(AND(Sum!$F558="Yes",Sum!$G558="Cash",Sum!Q$548=P$5),Sum!Q558,0)</f>
        <v>0</v>
      </c>
      <c r="Q26" s="264" t="str">
        <f>IF(AND(Sum!$F558="Yes",Sum!$G558="Cash"),Sum!$E558,"")</f>
        <v>Pumping &amp; Interceptors</v>
      </c>
    </row>
    <row r="27" spans="1:17" ht="12.75" customHeight="1" x14ac:dyDescent="0.25">
      <c r="A27" s="18"/>
      <c r="B27" s="306" t="str">
        <f>IF(AND(Sum!$F559="Yes",Sum!$G559="Cash"),Sum!$B559,"")</f>
        <v>HAEIDD/Hipark LS Grinders</v>
      </c>
      <c r="C27" s="3"/>
      <c r="D27" s="3"/>
      <c r="E27" s="13"/>
      <c r="F27" s="13"/>
      <c r="G27" s="153">
        <f>IF(AND(Sum!$F559="Yes",Sum!$G559="Cash",Sum!H$548=G$5),Sum!H559,0)</f>
        <v>0</v>
      </c>
      <c r="H27" s="13">
        <f>IF(AND(Sum!$F559="Yes",Sum!$G559="Cash",Sum!I$548=H$5),Sum!I559,0)</f>
        <v>250000</v>
      </c>
      <c r="I27" s="13">
        <f>IF(AND(Sum!$F559="Yes",Sum!$G559="Cash",Sum!J$548=I$5),Sum!J559,0)</f>
        <v>0</v>
      </c>
      <c r="J27" s="13">
        <f>IF(AND(Sum!$F559="Yes",Sum!$G559="Cash",Sum!K$548=J$5),Sum!K559,0)</f>
        <v>0</v>
      </c>
      <c r="K27" s="13">
        <f>IF(AND(Sum!$F559="Yes",Sum!$G559="Cash",Sum!L$548=K$5),Sum!L559,0)</f>
        <v>0</v>
      </c>
      <c r="L27" s="13">
        <f>IF(AND(Sum!$F559="Yes",Sum!$G559="Cash",Sum!M$548=L$5),Sum!M559,0)</f>
        <v>0</v>
      </c>
      <c r="M27" s="13">
        <f>IF(AND(Sum!$F559="Yes",Sum!$G559="Cash",Sum!N$548=M$5),Sum!N559,0)</f>
        <v>0</v>
      </c>
      <c r="N27" s="13">
        <f>IF(AND(Sum!$F559="Yes",Sum!$G559="Cash",Sum!O$548=N$5),Sum!O559,0)</f>
        <v>0</v>
      </c>
      <c r="O27" s="13">
        <f>IF(AND(Sum!$F559="Yes",Sum!$G559="Cash",Sum!P$548=O$5),Sum!P559,0)</f>
        <v>0</v>
      </c>
      <c r="P27" s="13">
        <f>IF(AND(Sum!$F559="Yes",Sum!$G559="Cash",Sum!Q$548=P$5),Sum!Q559,0)</f>
        <v>0</v>
      </c>
      <c r="Q27" s="264" t="str">
        <f>IF(AND(Sum!$F559="Yes",Sum!$G559="Cash"),Sum!$E559,"")</f>
        <v>Pumping &amp; Interceptors</v>
      </c>
    </row>
    <row r="28" spans="1:17" ht="12.75" customHeight="1" x14ac:dyDescent="0.25">
      <c r="A28" s="18"/>
      <c r="B28" s="306" t="str">
        <f>IF(AND(Sum!$F560="Yes",Sum!$G560="Cash"),Sum!$B560,"")</f>
        <v/>
      </c>
      <c r="C28" s="3"/>
      <c r="D28" s="3"/>
      <c r="E28" s="13"/>
      <c r="F28" s="13"/>
      <c r="G28" s="153">
        <f>IF(AND(Sum!$F560="Yes",Sum!$G560="Cash",Sum!H$548=G$5),Sum!H560,0)</f>
        <v>0</v>
      </c>
      <c r="H28" s="13">
        <f>IF(AND(Sum!$F560="Yes",Sum!$G560="Cash",Sum!I$548=H$5),Sum!I560,0)</f>
        <v>0</v>
      </c>
      <c r="I28" s="13">
        <f>IF(AND(Sum!$F560="Yes",Sum!$G560="Cash",Sum!J$548=I$5),Sum!J560,0)</f>
        <v>0</v>
      </c>
      <c r="J28" s="13">
        <f>IF(AND(Sum!$F560="Yes",Sum!$G560="Cash",Sum!K$548=J$5),Sum!K560,0)</f>
        <v>0</v>
      </c>
      <c r="K28" s="13">
        <f>IF(AND(Sum!$F560="Yes",Sum!$G560="Cash",Sum!L$548=K$5),Sum!L560,0)</f>
        <v>0</v>
      </c>
      <c r="L28" s="13">
        <f>IF(AND(Sum!$F560="Yes",Sum!$G560="Cash",Sum!M$548=L$5),Sum!M560,0)</f>
        <v>0</v>
      </c>
      <c r="M28" s="13">
        <f>IF(AND(Sum!$F560="Yes",Sum!$G560="Cash",Sum!N$548=M$5),Sum!N560,0)</f>
        <v>0</v>
      </c>
      <c r="N28" s="13">
        <f>IF(AND(Sum!$F560="Yes",Sum!$G560="Cash",Sum!O$548=N$5),Sum!O560,0)</f>
        <v>0</v>
      </c>
      <c r="O28" s="13">
        <f>IF(AND(Sum!$F560="Yes",Sum!$G560="Cash",Sum!P$548=O$5),Sum!P560,0)</f>
        <v>0</v>
      </c>
      <c r="P28" s="13">
        <f>IF(AND(Sum!$F560="Yes",Sum!$G560="Cash",Sum!Q$548=P$5),Sum!Q560,0)</f>
        <v>0</v>
      </c>
      <c r="Q28" s="264" t="str">
        <f>IF(AND(Sum!$F560="Yes",Sum!$G560="Cash"),Sum!$E560,"")</f>
        <v/>
      </c>
    </row>
    <row r="29" spans="1:17" ht="12.75" customHeight="1" x14ac:dyDescent="0.25">
      <c r="A29" s="18"/>
      <c r="B29" s="306" t="str">
        <f>IF(AND(Sum!$F561="Yes",Sum!$G561="Cash"),Sum!$B561,"")</f>
        <v/>
      </c>
      <c r="C29" s="3"/>
      <c r="D29" s="3"/>
      <c r="E29" s="13"/>
      <c r="F29" s="13"/>
      <c r="G29" s="153">
        <f>IF(AND(Sum!$F561="Yes",Sum!$G561="Cash",Sum!H$548=G$5),Sum!H561,0)</f>
        <v>0</v>
      </c>
      <c r="H29" s="13">
        <f>IF(AND(Sum!$F561="Yes",Sum!$G561="Cash",Sum!I$548=H$5),Sum!I561,0)</f>
        <v>0</v>
      </c>
      <c r="I29" s="13">
        <f>IF(AND(Sum!$F561="Yes",Sum!$G561="Cash",Sum!J$548=I$5),Sum!J561,0)</f>
        <v>0</v>
      </c>
      <c r="J29" s="13">
        <f>IF(AND(Sum!$F561="Yes",Sum!$G561="Cash",Sum!K$548=J$5),Sum!K561,0)</f>
        <v>0</v>
      </c>
      <c r="K29" s="13">
        <f>IF(AND(Sum!$F561="Yes",Sum!$G561="Cash",Sum!L$548=K$5),Sum!L561,0)</f>
        <v>0</v>
      </c>
      <c r="L29" s="13">
        <f>IF(AND(Sum!$F561="Yes",Sum!$G561="Cash",Sum!M$548=L$5),Sum!M561,0)</f>
        <v>0</v>
      </c>
      <c r="M29" s="13">
        <f>IF(AND(Sum!$F561="Yes",Sum!$G561="Cash",Sum!N$548=M$5),Sum!N561,0)</f>
        <v>0</v>
      </c>
      <c r="N29" s="13">
        <f>IF(AND(Sum!$F561="Yes",Sum!$G561="Cash",Sum!O$548=N$5),Sum!O561,0)</f>
        <v>0</v>
      </c>
      <c r="O29" s="13">
        <f>IF(AND(Sum!$F561="Yes",Sum!$G561="Cash",Sum!P$548=O$5),Sum!P561,0)</f>
        <v>0</v>
      </c>
      <c r="P29" s="13">
        <f>IF(AND(Sum!$F561="Yes",Sum!$G561="Cash",Sum!Q$548=P$5),Sum!Q561,0)</f>
        <v>0</v>
      </c>
      <c r="Q29" s="264" t="str">
        <f>IF(AND(Sum!$F561="Yes",Sum!$G561="Cash"),Sum!$E561,"")</f>
        <v/>
      </c>
    </row>
    <row r="30" spans="1:17" ht="12.75" customHeight="1" x14ac:dyDescent="0.25">
      <c r="A30" s="18"/>
      <c r="B30" s="306" t="str">
        <f>IF(AND(Sum!$F562="Yes",Sum!$G562="Cash"),Sum!$B562,"")</f>
        <v>Monistere Ln Sewer Impr.</v>
      </c>
      <c r="C30" s="74"/>
      <c r="D30" s="74"/>
      <c r="E30" s="13"/>
      <c r="F30" s="13"/>
      <c r="G30" s="153">
        <f>IF(AND(Sum!$F562="Yes",Sum!$G562="Cash",Sum!H$548=G$5),Sum!H562,0)</f>
        <v>0</v>
      </c>
      <c r="H30" s="13">
        <f>IF(AND(Sum!$F562="Yes",Sum!$G562="Cash",Sum!I$548=H$5),Sum!I562,0)</f>
        <v>450000</v>
      </c>
      <c r="I30" s="13">
        <f>IF(AND(Sum!$F562="Yes",Sum!$G562="Cash",Sum!J$548=I$5),Sum!J562,0)</f>
        <v>0</v>
      </c>
      <c r="J30" s="13">
        <f>IF(AND(Sum!$F562="Yes",Sum!$G562="Cash",Sum!K$548=J$5),Sum!K562,0)</f>
        <v>0</v>
      </c>
      <c r="K30" s="13">
        <f>IF(AND(Sum!$F562="Yes",Sum!$G562="Cash",Sum!L$548=K$5),Sum!L562,0)</f>
        <v>0</v>
      </c>
      <c r="L30" s="13">
        <f>IF(AND(Sum!$F562="Yes",Sum!$G562="Cash",Sum!M$548=L$5),Sum!M562,0)</f>
        <v>0</v>
      </c>
      <c r="M30" s="13">
        <f>IF(AND(Sum!$F562="Yes",Sum!$G562="Cash",Sum!N$548=M$5),Sum!N562,0)</f>
        <v>0</v>
      </c>
      <c r="N30" s="13">
        <f>IF(AND(Sum!$F562="Yes",Sum!$G562="Cash",Sum!O$548=N$5),Sum!O562,0)</f>
        <v>0</v>
      </c>
      <c r="O30" s="13">
        <f>IF(AND(Sum!$F562="Yes",Sum!$G562="Cash",Sum!P$548=O$5),Sum!P562,0)</f>
        <v>0</v>
      </c>
      <c r="P30" s="13">
        <f>IF(AND(Sum!$F562="Yes",Sum!$G562="Cash",Sum!Q$548=P$5),Sum!Q562,0)</f>
        <v>0</v>
      </c>
      <c r="Q30" s="264" t="str">
        <f>IF(AND(Sum!$F562="Yes",Sum!$G562="Cash"),Sum!$E562,"")</f>
        <v>Collection</v>
      </c>
    </row>
    <row r="31" spans="1:17" ht="12.75" customHeight="1" x14ac:dyDescent="0.25">
      <c r="A31" s="18"/>
      <c r="B31" s="306" t="str">
        <f>IF(AND(Sum!$F563="Yes",Sum!$G563="Cash"),Sum!$B563,"")</f>
        <v>Emergency and Misc. Repairs</v>
      </c>
      <c r="C31" s="74"/>
      <c r="D31" s="74"/>
      <c r="E31" s="13"/>
      <c r="F31" s="13"/>
      <c r="G31" s="153">
        <f>IF(AND(Sum!$F563="Yes",Sum!$G563="Cash",Sum!H$548=G$5),Sum!H563,0)</f>
        <v>0</v>
      </c>
      <c r="H31" s="13">
        <f>IF(AND(Sum!$F563="Yes",Sum!$G563="Cash",Sum!I$548=H$5),Sum!I563,0)</f>
        <v>25000</v>
      </c>
      <c r="I31" s="13">
        <f>IF(AND(Sum!$F563="Yes",Sum!$G563="Cash",Sum!J$548=I$5),Sum!J563,0)</f>
        <v>25000</v>
      </c>
      <c r="J31" s="13">
        <f>IF(AND(Sum!$F563="Yes",Sum!$G563="Cash",Sum!K$548=J$5),Sum!K563,0)</f>
        <v>25000</v>
      </c>
      <c r="K31" s="13">
        <f>IF(AND(Sum!$F563="Yes",Sum!$G563="Cash",Sum!L$548=K$5),Sum!L563,0)</f>
        <v>25000</v>
      </c>
      <c r="L31" s="13">
        <f>IF(AND(Sum!$F563="Yes",Sum!$G563="Cash",Sum!M$548=L$5),Sum!M563,0)</f>
        <v>25000</v>
      </c>
      <c r="M31" s="13">
        <f>IF(AND(Sum!$F563="Yes",Sum!$G563="Cash",Sum!N$548=M$5),Sum!N563,0)</f>
        <v>25000</v>
      </c>
      <c r="N31" s="13">
        <f>IF(AND(Sum!$F563="Yes",Sum!$G563="Cash",Sum!O$548=N$5),Sum!O563,0)</f>
        <v>25000</v>
      </c>
      <c r="O31" s="13">
        <f>IF(AND(Sum!$F563="Yes",Sum!$G563="Cash",Sum!P$548=O$5),Sum!P563,0)</f>
        <v>25000</v>
      </c>
      <c r="P31" s="13">
        <f>IF(AND(Sum!$F563="Yes",Sum!$G563="Cash",Sum!Q$548=P$5),Sum!Q563,0)</f>
        <v>25000</v>
      </c>
      <c r="Q31" s="264" t="str">
        <f>IF(AND(Sum!$F563="Yes",Sum!$G563="Cash"),Sum!$E563,"")</f>
        <v>Pumping &amp; Interceptors</v>
      </c>
    </row>
    <row r="32" spans="1:17" ht="12.75" customHeight="1" x14ac:dyDescent="0.25">
      <c r="A32" s="18"/>
      <c r="B32" s="306" t="str">
        <f>IF(AND(Sum!$F564="Yes",Sum!$G564="Cash"),Sum!$B564,"")</f>
        <v/>
      </c>
      <c r="C32" s="3"/>
      <c r="D32" s="3"/>
      <c r="E32" s="13"/>
      <c r="F32" s="13"/>
      <c r="G32" s="153">
        <f>IF(AND(Sum!$F564="Yes",Sum!$G564="Cash",Sum!H$548=G$5),Sum!H564,0)</f>
        <v>0</v>
      </c>
      <c r="H32" s="13">
        <f>IF(AND(Sum!$F564="Yes",Sum!$G564="Cash",Sum!I$548=H$5),Sum!I564,0)</f>
        <v>0</v>
      </c>
      <c r="I32" s="13">
        <f>IF(AND(Sum!$F564="Yes",Sum!$G564="Cash",Sum!J$548=I$5),Sum!J564,0)</f>
        <v>0</v>
      </c>
      <c r="J32" s="13">
        <f>IF(AND(Sum!$F564="Yes",Sum!$G564="Cash",Sum!K$548=J$5),Sum!K564,0)</f>
        <v>0</v>
      </c>
      <c r="K32" s="13">
        <f>IF(AND(Sum!$F564="Yes",Sum!$G564="Cash",Sum!L$548=K$5),Sum!L564,0)</f>
        <v>0</v>
      </c>
      <c r="L32" s="13">
        <f>IF(AND(Sum!$F564="Yes",Sum!$G564="Cash",Sum!M$548=L$5),Sum!M564,0)</f>
        <v>0</v>
      </c>
      <c r="M32" s="13">
        <f>IF(AND(Sum!$F564="Yes",Sum!$G564="Cash",Sum!N$548=M$5),Sum!N564,0)</f>
        <v>0</v>
      </c>
      <c r="N32" s="13">
        <f>IF(AND(Sum!$F564="Yes",Sum!$G564="Cash",Sum!O$548=N$5),Sum!O564,0)</f>
        <v>0</v>
      </c>
      <c r="O32" s="13">
        <f>IF(AND(Sum!$F564="Yes",Sum!$G564="Cash",Sum!P$548=O$5),Sum!P564,0)</f>
        <v>0</v>
      </c>
      <c r="P32" s="13">
        <f>IF(AND(Sum!$F564="Yes",Sum!$G564="Cash",Sum!Q$548=P$5),Sum!Q564,0)</f>
        <v>0</v>
      </c>
      <c r="Q32" s="264" t="str">
        <f>IF(AND(Sum!$F564="Yes",Sum!$G564="Cash"),Sum!$E564,"")</f>
        <v/>
      </c>
    </row>
    <row r="33" spans="1:17" ht="12.75" customHeight="1" x14ac:dyDescent="0.25">
      <c r="A33" s="18"/>
      <c r="B33" s="306" t="str">
        <f>IF(AND(Sum!$F565="Yes",Sum!$G565="Cash"),Sum!$B565,"")</f>
        <v/>
      </c>
      <c r="C33" s="3"/>
      <c r="D33" s="3"/>
      <c r="E33" s="13"/>
      <c r="F33" s="13"/>
      <c r="G33" s="153">
        <f>IF(AND(Sum!$F565="Yes",Sum!$G565="Cash",Sum!H$548=G$5),Sum!H565,0)</f>
        <v>0</v>
      </c>
      <c r="H33" s="13">
        <f>IF(AND(Sum!$F565="Yes",Sum!$G565="Cash",Sum!I$548=H$5),Sum!I565,0)</f>
        <v>0</v>
      </c>
      <c r="I33" s="13">
        <f>IF(AND(Sum!$F565="Yes",Sum!$G565="Cash",Sum!J$548=I$5),Sum!J565,0)</f>
        <v>0</v>
      </c>
      <c r="J33" s="13">
        <f>IF(AND(Sum!$F565="Yes",Sum!$G565="Cash",Sum!K$548=J$5),Sum!K565,0)</f>
        <v>0</v>
      </c>
      <c r="K33" s="13">
        <f>IF(AND(Sum!$F565="Yes",Sum!$G565="Cash",Sum!L$548=K$5),Sum!L565,0)</f>
        <v>0</v>
      </c>
      <c r="L33" s="13">
        <f>IF(AND(Sum!$F565="Yes",Sum!$G565="Cash",Sum!M$548=L$5),Sum!M565,0)</f>
        <v>0</v>
      </c>
      <c r="M33" s="13">
        <f>IF(AND(Sum!$F565="Yes",Sum!$G565="Cash",Sum!N$548=M$5),Sum!N565,0)</f>
        <v>0</v>
      </c>
      <c r="N33" s="13">
        <f>IF(AND(Sum!$F565="Yes",Sum!$G565="Cash",Sum!O$548=N$5),Sum!O565,0)</f>
        <v>0</v>
      </c>
      <c r="O33" s="13">
        <f>IF(AND(Sum!$F565="Yes",Sum!$G565="Cash",Sum!P$548=O$5),Sum!P565,0)</f>
        <v>0</v>
      </c>
      <c r="P33" s="13">
        <f>IF(AND(Sum!$F565="Yes",Sum!$G565="Cash",Sum!Q$548=P$5),Sum!Q565,0)</f>
        <v>0</v>
      </c>
      <c r="Q33" s="264" t="str">
        <f>IF(AND(Sum!$F565="Yes",Sum!$G565="Cash"),Sum!$E565,"")</f>
        <v/>
      </c>
    </row>
    <row r="34" spans="1:17" ht="12.75" customHeight="1" x14ac:dyDescent="0.25">
      <c r="A34" s="18"/>
      <c r="B34" s="306" t="str">
        <f>IF(AND(Sum!$F566="Yes",Sum!$G566="Cash"),Sum!$B566,"")</f>
        <v/>
      </c>
      <c r="C34" s="3"/>
      <c r="D34" s="3"/>
      <c r="E34" s="13"/>
      <c r="F34" s="13"/>
      <c r="G34" s="153">
        <f>IF(AND(Sum!$F566="Yes",Sum!$G566="Cash",Sum!H$548=G$5),Sum!H566,0)</f>
        <v>0</v>
      </c>
      <c r="H34" s="13">
        <f>IF(AND(Sum!$F566="Yes",Sum!$G566="Cash",Sum!I$548=H$5),Sum!I566,0)</f>
        <v>0</v>
      </c>
      <c r="I34" s="13">
        <f>IF(AND(Sum!$F566="Yes",Sum!$G566="Cash",Sum!J$548=I$5),Sum!J566,0)</f>
        <v>0</v>
      </c>
      <c r="J34" s="13">
        <f>IF(AND(Sum!$F566="Yes",Sum!$G566="Cash",Sum!K$548=J$5),Sum!K566,0)</f>
        <v>0</v>
      </c>
      <c r="K34" s="13">
        <f>IF(AND(Sum!$F566="Yes",Sum!$G566="Cash",Sum!L$548=K$5),Sum!L566,0)</f>
        <v>0</v>
      </c>
      <c r="L34" s="13">
        <f>IF(AND(Sum!$F566="Yes",Sum!$G566="Cash",Sum!M$548=L$5),Sum!M566,0)</f>
        <v>0</v>
      </c>
      <c r="M34" s="13">
        <f>IF(AND(Sum!$F566="Yes",Sum!$G566="Cash",Sum!N$548=M$5),Sum!N566,0)</f>
        <v>0</v>
      </c>
      <c r="N34" s="13">
        <f>IF(AND(Sum!$F566="Yes",Sum!$G566="Cash",Sum!O$548=N$5),Sum!O566,0)</f>
        <v>0</v>
      </c>
      <c r="O34" s="13">
        <f>IF(AND(Sum!$F566="Yes",Sum!$G566="Cash",Sum!P$548=O$5),Sum!P566,0)</f>
        <v>0</v>
      </c>
      <c r="P34" s="13">
        <f>IF(AND(Sum!$F566="Yes",Sum!$G566="Cash",Sum!Q$548=P$5),Sum!Q566,0)</f>
        <v>0</v>
      </c>
      <c r="Q34" s="264" t="str">
        <f>IF(AND(Sum!$F566="Yes",Sum!$G566="Cash"),Sum!$E566,"")</f>
        <v/>
      </c>
    </row>
    <row r="35" spans="1:17" ht="12.75" customHeight="1" x14ac:dyDescent="0.25">
      <c r="A35" s="18"/>
      <c r="B35" s="306" t="str">
        <f>IF(AND(Sum!$F567="Yes",Sum!$G567="Cash"),Sum!$B567,"")</f>
        <v/>
      </c>
      <c r="C35" s="3"/>
      <c r="D35" s="3"/>
      <c r="E35" s="13"/>
      <c r="F35" s="13"/>
      <c r="G35" s="153">
        <f>IF(AND(Sum!$F567="Yes",Sum!$G567="Cash",Sum!H$548=G$5),Sum!H567,0)</f>
        <v>0</v>
      </c>
      <c r="H35" s="13">
        <f>IF(AND(Sum!$F567="Yes",Sum!$G567="Cash",Sum!I$548=H$5),Sum!I567,0)</f>
        <v>0</v>
      </c>
      <c r="I35" s="13">
        <f>IF(AND(Sum!$F567="Yes",Sum!$G567="Cash",Sum!J$548=I$5),Sum!J567,0)</f>
        <v>0</v>
      </c>
      <c r="J35" s="13">
        <f>IF(AND(Sum!$F567="Yes",Sum!$G567="Cash",Sum!K$548=J$5),Sum!K567,0)</f>
        <v>0</v>
      </c>
      <c r="K35" s="13">
        <f>IF(AND(Sum!$F567="Yes",Sum!$G567="Cash",Sum!L$548=K$5),Sum!L567,0)</f>
        <v>0</v>
      </c>
      <c r="L35" s="13">
        <f>IF(AND(Sum!$F567="Yes",Sum!$G567="Cash",Sum!M$548=L$5),Sum!M567,0)</f>
        <v>0</v>
      </c>
      <c r="M35" s="13">
        <f>IF(AND(Sum!$F567="Yes",Sum!$G567="Cash",Sum!N$548=M$5),Sum!N567,0)</f>
        <v>0</v>
      </c>
      <c r="N35" s="13">
        <f>IF(AND(Sum!$F567="Yes",Sum!$G567="Cash",Sum!O$548=N$5),Sum!O567,0)</f>
        <v>0</v>
      </c>
      <c r="O35" s="13">
        <f>IF(AND(Sum!$F567="Yes",Sum!$G567="Cash",Sum!P$548=O$5),Sum!P567,0)</f>
        <v>0</v>
      </c>
      <c r="P35" s="13">
        <f>IF(AND(Sum!$F567="Yes",Sum!$G567="Cash",Sum!Q$548=P$5),Sum!Q567,0)</f>
        <v>0</v>
      </c>
      <c r="Q35" s="264" t="str">
        <f>IF(AND(Sum!$F567="Yes",Sum!$G567="Cash"),Sum!$E567,"")</f>
        <v/>
      </c>
    </row>
    <row r="36" spans="1:17" ht="12.75" customHeight="1" x14ac:dyDescent="0.25">
      <c r="A36" s="18"/>
      <c r="B36" s="306" t="str">
        <f>IF(AND(Sum!$F568="Yes",Sum!$G568="Cash"),Sum!$B568,"")</f>
        <v/>
      </c>
      <c r="C36" s="3"/>
      <c r="D36" s="3"/>
      <c r="E36" s="13"/>
      <c r="F36" s="13"/>
      <c r="G36" s="153">
        <f>IF(AND(Sum!$F568="Yes",Sum!$G568="Cash",Sum!H$548=G$5),Sum!H568,0)</f>
        <v>0</v>
      </c>
      <c r="H36" s="13">
        <f>IF(AND(Sum!$F568="Yes",Sum!$G568="Cash",Sum!I$548=H$5),Sum!I568,0)</f>
        <v>0</v>
      </c>
      <c r="I36" s="13">
        <f>IF(AND(Sum!$F568="Yes",Sum!$G568="Cash",Sum!J$548=I$5),Sum!J568,0)</f>
        <v>0</v>
      </c>
      <c r="J36" s="13">
        <f>IF(AND(Sum!$F568="Yes",Sum!$G568="Cash",Sum!K$548=J$5),Sum!K568,0)</f>
        <v>0</v>
      </c>
      <c r="K36" s="13">
        <f>IF(AND(Sum!$F568="Yes",Sum!$G568="Cash",Sum!L$548=K$5),Sum!L568,0)</f>
        <v>0</v>
      </c>
      <c r="L36" s="13">
        <f>IF(AND(Sum!$F568="Yes",Sum!$G568="Cash",Sum!M$548=L$5),Sum!M568,0)</f>
        <v>0</v>
      </c>
      <c r="M36" s="13">
        <f>IF(AND(Sum!$F568="Yes",Sum!$G568="Cash",Sum!N$548=M$5),Sum!N568,0)</f>
        <v>0</v>
      </c>
      <c r="N36" s="13">
        <f>IF(AND(Sum!$F568="Yes",Sum!$G568="Cash",Sum!O$548=N$5),Sum!O568,0)</f>
        <v>0</v>
      </c>
      <c r="O36" s="13">
        <f>IF(AND(Sum!$F568="Yes",Sum!$G568="Cash",Sum!P$548=O$5),Sum!P568,0)</f>
        <v>0</v>
      </c>
      <c r="P36" s="13">
        <f>IF(AND(Sum!$F568="Yes",Sum!$G568="Cash",Sum!Q$548=P$5),Sum!Q568,0)</f>
        <v>0</v>
      </c>
      <c r="Q36" s="264" t="str">
        <f>IF(AND(Sum!$F568="Yes",Sum!$G568="Cash"),Sum!$E568,"")</f>
        <v/>
      </c>
    </row>
    <row r="37" spans="1:17" ht="12.75" customHeight="1" x14ac:dyDescent="0.25">
      <c r="A37" s="18"/>
      <c r="B37" s="306" t="str">
        <f>IF(AND(Sum!$F569="Yes",Sum!$G569="Cash"),Sum!$B569,"")</f>
        <v/>
      </c>
      <c r="C37" s="3"/>
      <c r="D37" s="3"/>
      <c r="E37" s="13"/>
      <c r="F37" s="13"/>
      <c r="G37" s="153">
        <f>IF(AND(Sum!$F569="Yes",Sum!$G569="Cash",Sum!H$548=G$5),Sum!H569,0)</f>
        <v>0</v>
      </c>
      <c r="H37" s="13">
        <f>IF(AND(Sum!$F569="Yes",Sum!$G569="Cash",Sum!I$548=H$5),Sum!I569,0)</f>
        <v>0</v>
      </c>
      <c r="I37" s="13">
        <f>IF(AND(Sum!$F569="Yes",Sum!$G569="Cash",Sum!J$548=I$5),Sum!J569,0)</f>
        <v>0</v>
      </c>
      <c r="J37" s="13">
        <f>IF(AND(Sum!$F569="Yes",Sum!$G569="Cash",Sum!K$548=J$5),Sum!K569,0)</f>
        <v>0</v>
      </c>
      <c r="K37" s="13">
        <f>IF(AND(Sum!$F569="Yes",Sum!$G569="Cash",Sum!L$548=K$5),Sum!L569,0)</f>
        <v>0</v>
      </c>
      <c r="L37" s="13">
        <f>IF(AND(Sum!$F569="Yes",Sum!$G569="Cash",Sum!M$548=L$5),Sum!M569,0)</f>
        <v>0</v>
      </c>
      <c r="M37" s="13">
        <f>IF(AND(Sum!$F569="Yes",Sum!$G569="Cash",Sum!N$548=M$5),Sum!N569,0)</f>
        <v>0</v>
      </c>
      <c r="N37" s="13">
        <f>IF(AND(Sum!$F569="Yes",Sum!$G569="Cash",Sum!O$548=N$5),Sum!O569,0)</f>
        <v>0</v>
      </c>
      <c r="O37" s="13">
        <f>IF(AND(Sum!$F569="Yes",Sum!$G569="Cash",Sum!P$548=O$5),Sum!P569,0)</f>
        <v>0</v>
      </c>
      <c r="P37" s="13">
        <f>IF(AND(Sum!$F569="Yes",Sum!$G569="Cash",Sum!Q$548=P$5),Sum!Q569,0)</f>
        <v>0</v>
      </c>
      <c r="Q37" s="264" t="str">
        <f>IF(AND(Sum!$F569="Yes",Sum!$G569="Cash"),Sum!$E569,"")</f>
        <v/>
      </c>
    </row>
    <row r="38" spans="1:17" ht="12.75" customHeight="1" x14ac:dyDescent="0.25">
      <c r="A38" s="18"/>
      <c r="B38" s="306" t="str">
        <f>IF(AND(Sum!$F570="Yes",Sum!$G570="Cash"),Sum!$B570,"")</f>
        <v/>
      </c>
      <c r="C38" s="3"/>
      <c r="D38" s="3"/>
      <c r="E38" s="13"/>
      <c r="F38" s="13"/>
      <c r="G38" s="153">
        <f>IF(AND(Sum!$F570="Yes",Sum!$G570="Cash",Sum!H$548=G$5),Sum!H570,0)</f>
        <v>0</v>
      </c>
      <c r="H38" s="13">
        <f>IF(AND(Sum!$F570="Yes",Sum!$G570="Cash",Sum!I$548=H$5),Sum!I570,0)</f>
        <v>0</v>
      </c>
      <c r="I38" s="13">
        <f>IF(AND(Sum!$F570="Yes",Sum!$G570="Cash",Sum!J$548=I$5),Sum!J570,0)</f>
        <v>0</v>
      </c>
      <c r="J38" s="13">
        <f>IF(AND(Sum!$F570="Yes",Sum!$G570="Cash",Sum!K$548=J$5),Sum!K570,0)</f>
        <v>0</v>
      </c>
      <c r="K38" s="13">
        <f>IF(AND(Sum!$F570="Yes",Sum!$G570="Cash",Sum!L$548=K$5),Sum!L570,0)</f>
        <v>0</v>
      </c>
      <c r="L38" s="13">
        <f>IF(AND(Sum!$F570="Yes",Sum!$G570="Cash",Sum!M$548=L$5),Sum!M570,0)</f>
        <v>0</v>
      </c>
      <c r="M38" s="13">
        <f>IF(AND(Sum!$F570="Yes",Sum!$G570="Cash",Sum!N$548=M$5),Sum!N570,0)</f>
        <v>0</v>
      </c>
      <c r="N38" s="13">
        <f>IF(AND(Sum!$F570="Yes",Sum!$G570="Cash",Sum!O$548=N$5),Sum!O570,0)</f>
        <v>0</v>
      </c>
      <c r="O38" s="13">
        <f>IF(AND(Sum!$F570="Yes",Sum!$G570="Cash",Sum!P$548=O$5),Sum!P570,0)</f>
        <v>0</v>
      </c>
      <c r="P38" s="13">
        <f>IF(AND(Sum!$F570="Yes",Sum!$G570="Cash",Sum!Q$548=P$5),Sum!Q570,0)</f>
        <v>0</v>
      </c>
      <c r="Q38" s="264" t="str">
        <f>IF(AND(Sum!$F570="Yes",Sum!$G570="Cash"),Sum!$E570,"")</f>
        <v/>
      </c>
    </row>
    <row r="39" spans="1:17" ht="12.75" customHeight="1" x14ac:dyDescent="0.25">
      <c r="A39" s="18"/>
      <c r="B39" s="306" t="str">
        <f>IF(AND(Sum!$F571="Yes",Sum!$G571="Cash"),Sum!$B571,"")</f>
        <v/>
      </c>
      <c r="C39" s="3"/>
      <c r="D39" s="3"/>
      <c r="E39" s="13"/>
      <c r="F39" s="13"/>
      <c r="G39" s="153">
        <f>IF(AND(Sum!$F571="Yes",Sum!$G571="Cash",Sum!H$548=G$5),Sum!H571,0)</f>
        <v>0</v>
      </c>
      <c r="H39" s="13">
        <f>IF(AND(Sum!$F571="Yes",Sum!$G571="Cash",Sum!I$548=H$5),Sum!I571,0)</f>
        <v>0</v>
      </c>
      <c r="I39" s="13">
        <f>IF(AND(Sum!$F571="Yes",Sum!$G571="Cash",Sum!J$548=I$5),Sum!J571,0)</f>
        <v>0</v>
      </c>
      <c r="J39" s="13">
        <f>IF(AND(Sum!$F571="Yes",Sum!$G571="Cash",Sum!K$548=J$5),Sum!K571,0)</f>
        <v>0</v>
      </c>
      <c r="K39" s="13">
        <f>IF(AND(Sum!$F571="Yes",Sum!$G571="Cash",Sum!L$548=K$5),Sum!L571,0)</f>
        <v>0</v>
      </c>
      <c r="L39" s="13">
        <f>IF(AND(Sum!$F571="Yes",Sum!$G571="Cash",Sum!M$548=L$5),Sum!M571,0)</f>
        <v>0</v>
      </c>
      <c r="M39" s="13">
        <f>IF(AND(Sum!$F571="Yes",Sum!$G571="Cash",Sum!N$548=M$5),Sum!N571,0)</f>
        <v>0</v>
      </c>
      <c r="N39" s="13">
        <f>IF(AND(Sum!$F571="Yes",Sum!$G571="Cash",Sum!O$548=N$5),Sum!O571,0)</f>
        <v>0</v>
      </c>
      <c r="O39" s="13">
        <f>IF(AND(Sum!$F571="Yes",Sum!$G571="Cash",Sum!P$548=O$5),Sum!P571,0)</f>
        <v>0</v>
      </c>
      <c r="P39" s="13">
        <f>IF(AND(Sum!$F571="Yes",Sum!$G571="Cash",Sum!Q$548=P$5),Sum!Q571,0)</f>
        <v>0</v>
      </c>
      <c r="Q39" s="264" t="str">
        <f>IF(AND(Sum!$F571="Yes",Sum!$G571="Cash"),Sum!$E571,"")</f>
        <v/>
      </c>
    </row>
    <row r="40" spans="1:17" ht="12.75" customHeight="1" x14ac:dyDescent="0.25">
      <c r="A40" s="18"/>
      <c r="B40" s="306" t="str">
        <f>IF(AND(Sum!$F572="Yes",Sum!$G572="Cash"),Sum!$B572,"")</f>
        <v/>
      </c>
      <c r="C40" s="3"/>
      <c r="D40" s="3"/>
      <c r="E40" s="13"/>
      <c r="F40" s="13"/>
      <c r="G40" s="153">
        <f>IF(AND(Sum!$F572="Yes",Sum!$G572="Cash",Sum!H$548=G$5),Sum!H572,0)</f>
        <v>0</v>
      </c>
      <c r="H40" s="13">
        <f>IF(AND(Sum!$F572="Yes",Sum!$G572="Cash",Sum!I$548=H$5),Sum!I572,0)</f>
        <v>0</v>
      </c>
      <c r="I40" s="13">
        <f>IF(AND(Sum!$F572="Yes",Sum!$G572="Cash",Sum!J$548=I$5),Sum!J572,0)</f>
        <v>0</v>
      </c>
      <c r="J40" s="13">
        <f>IF(AND(Sum!$F572="Yes",Sum!$G572="Cash",Sum!K$548=J$5),Sum!K572,0)</f>
        <v>0</v>
      </c>
      <c r="K40" s="13">
        <f>IF(AND(Sum!$F572="Yes",Sum!$G572="Cash",Sum!L$548=K$5),Sum!L572,0)</f>
        <v>0</v>
      </c>
      <c r="L40" s="13">
        <f>IF(AND(Sum!$F572="Yes",Sum!$G572="Cash",Sum!M$548=L$5),Sum!M572,0)</f>
        <v>0</v>
      </c>
      <c r="M40" s="13">
        <f>IF(AND(Sum!$F572="Yes",Sum!$G572="Cash",Sum!N$548=M$5),Sum!N572,0)</f>
        <v>0</v>
      </c>
      <c r="N40" s="13">
        <f>IF(AND(Sum!$F572="Yes",Sum!$G572="Cash",Sum!O$548=N$5),Sum!O572,0)</f>
        <v>0</v>
      </c>
      <c r="O40" s="13">
        <f>IF(AND(Sum!$F572="Yes",Sum!$G572="Cash",Sum!P$548=O$5),Sum!P572,0)</f>
        <v>0</v>
      </c>
      <c r="P40" s="13">
        <f>IF(AND(Sum!$F572="Yes",Sum!$G572="Cash",Sum!Q$548=P$5),Sum!Q572,0)</f>
        <v>0</v>
      </c>
      <c r="Q40" s="264" t="str">
        <f>IF(AND(Sum!$F572="Yes",Sum!$G572="Cash"),Sum!$E572,"")</f>
        <v/>
      </c>
    </row>
    <row r="41" spans="1:17" ht="12.75" customHeight="1" x14ac:dyDescent="0.25">
      <c r="A41" s="18"/>
      <c r="B41" s="306" t="str">
        <f>IF(AND(Sum!$F573="Yes",Sum!$G573="Cash"),Sum!$B573,"")</f>
        <v/>
      </c>
      <c r="C41" s="3"/>
      <c r="D41" s="3"/>
      <c r="E41" s="13"/>
      <c r="F41" s="13"/>
      <c r="G41" s="153">
        <f>IF(AND(Sum!$F573="Yes",Sum!$G573="Cash",Sum!H$548=G$5),Sum!H573,0)</f>
        <v>0</v>
      </c>
      <c r="H41" s="13">
        <f>IF(AND(Sum!$F573="Yes",Sum!$G573="Cash",Sum!I$548=H$5),Sum!I573,0)</f>
        <v>0</v>
      </c>
      <c r="I41" s="13">
        <f>IF(AND(Sum!$F573="Yes",Sum!$G573="Cash",Sum!J$548=I$5),Sum!J573,0)</f>
        <v>0</v>
      </c>
      <c r="J41" s="13">
        <f>IF(AND(Sum!$F573="Yes",Sum!$G573="Cash",Sum!K$548=J$5),Sum!K573,0)</f>
        <v>0</v>
      </c>
      <c r="K41" s="13">
        <f>IF(AND(Sum!$F573="Yes",Sum!$G573="Cash",Sum!L$548=K$5),Sum!L573,0)</f>
        <v>0</v>
      </c>
      <c r="L41" s="13">
        <f>IF(AND(Sum!$F573="Yes",Sum!$G573="Cash",Sum!M$548=L$5),Sum!M573,0)</f>
        <v>0</v>
      </c>
      <c r="M41" s="13">
        <f>IF(AND(Sum!$F573="Yes",Sum!$G573="Cash",Sum!N$548=M$5),Sum!N573,0)</f>
        <v>0</v>
      </c>
      <c r="N41" s="13">
        <f>IF(AND(Sum!$F573="Yes",Sum!$G573="Cash",Sum!O$548=N$5),Sum!O573,0)</f>
        <v>0</v>
      </c>
      <c r="O41" s="13">
        <f>IF(AND(Sum!$F573="Yes",Sum!$G573="Cash",Sum!P$548=O$5),Sum!P573,0)</f>
        <v>0</v>
      </c>
      <c r="P41" s="13">
        <f>IF(AND(Sum!$F573="Yes",Sum!$G573="Cash",Sum!Q$548=P$5),Sum!Q573,0)</f>
        <v>0</v>
      </c>
      <c r="Q41" s="264" t="str">
        <f>IF(AND(Sum!$F573="Yes",Sum!$G573="Cash"),Sum!$E573,"")</f>
        <v/>
      </c>
    </row>
    <row r="42" spans="1:17" ht="12.75" customHeight="1" x14ac:dyDescent="0.25">
      <c r="A42" s="18"/>
      <c r="B42" s="306" t="str">
        <f>IF(AND(Sum!$F574="Yes",Sum!$G574="Cash"),Sum!$B574,"")</f>
        <v/>
      </c>
      <c r="C42" s="3"/>
      <c r="D42" s="3"/>
      <c r="E42" s="13"/>
      <c r="F42" s="13"/>
      <c r="G42" s="153">
        <f>IF(AND(Sum!$F574="Yes",Sum!$G574="Cash",Sum!H$548=G$5),Sum!H574,0)</f>
        <v>0</v>
      </c>
      <c r="H42" s="13">
        <f>IF(AND(Sum!$F574="Yes",Sum!$G574="Cash",Sum!I$548=H$5),Sum!I574,0)</f>
        <v>0</v>
      </c>
      <c r="I42" s="13">
        <f>IF(AND(Sum!$F574="Yes",Sum!$G574="Cash",Sum!J$548=I$5),Sum!J574,0)</f>
        <v>0</v>
      </c>
      <c r="J42" s="13">
        <f>IF(AND(Sum!$F574="Yes",Sum!$G574="Cash",Sum!K$548=J$5),Sum!K574,0)</f>
        <v>0</v>
      </c>
      <c r="K42" s="13">
        <f>IF(AND(Sum!$F574="Yes",Sum!$G574="Cash",Sum!L$548=K$5),Sum!L574,0)</f>
        <v>0</v>
      </c>
      <c r="L42" s="13">
        <f>IF(AND(Sum!$F574="Yes",Sum!$G574="Cash",Sum!M$548=L$5),Sum!M574,0)</f>
        <v>0</v>
      </c>
      <c r="M42" s="13">
        <f>IF(AND(Sum!$F574="Yes",Sum!$G574="Cash",Sum!N$548=M$5),Sum!N574,0)</f>
        <v>0</v>
      </c>
      <c r="N42" s="13">
        <f>IF(AND(Sum!$F574="Yes",Sum!$G574="Cash",Sum!O$548=N$5),Sum!O574,0)</f>
        <v>0</v>
      </c>
      <c r="O42" s="13">
        <f>IF(AND(Sum!$F574="Yes",Sum!$G574="Cash",Sum!P$548=O$5),Sum!P574,0)</f>
        <v>0</v>
      </c>
      <c r="P42" s="13">
        <f>IF(AND(Sum!$F574="Yes",Sum!$G574="Cash",Sum!Q$548=P$5),Sum!Q574,0)</f>
        <v>0</v>
      </c>
      <c r="Q42" s="264" t="str">
        <f>IF(AND(Sum!$F574="Yes",Sum!$G574="Cash"),Sum!$E574,"")</f>
        <v/>
      </c>
    </row>
    <row r="43" spans="1:17" ht="12.75" customHeight="1" x14ac:dyDescent="0.25">
      <c r="A43" s="18"/>
      <c r="B43" s="306" t="str">
        <f>IF(AND(Sum!$F575="Yes",Sum!$G575="Cash"),Sum!$B575,"")</f>
        <v/>
      </c>
      <c r="C43" s="3"/>
      <c r="D43" s="3"/>
      <c r="E43" s="13"/>
      <c r="F43" s="13"/>
      <c r="G43" s="153">
        <f>IF(AND(Sum!$F575="Yes",Sum!$G575="Cash",Sum!H$548=G$5),Sum!H575,0)</f>
        <v>0</v>
      </c>
      <c r="H43" s="13">
        <f>IF(AND(Sum!$F575="Yes",Sum!$G575="Cash",Sum!I$548=H$5),Sum!I575,0)</f>
        <v>0</v>
      </c>
      <c r="I43" s="13">
        <f>IF(AND(Sum!$F575="Yes",Sum!$G575="Cash",Sum!J$548=I$5),Sum!J575,0)</f>
        <v>0</v>
      </c>
      <c r="J43" s="13">
        <f>IF(AND(Sum!$F575="Yes",Sum!$G575="Cash",Sum!K$548=J$5),Sum!K575,0)</f>
        <v>0</v>
      </c>
      <c r="K43" s="13">
        <f>IF(AND(Sum!$F575="Yes",Sum!$G575="Cash",Sum!L$548=K$5),Sum!L575,0)</f>
        <v>0</v>
      </c>
      <c r="L43" s="13">
        <f>IF(AND(Sum!$F575="Yes",Sum!$G575="Cash",Sum!M$548=L$5),Sum!M575,0)</f>
        <v>0</v>
      </c>
      <c r="M43" s="13">
        <f>IF(AND(Sum!$F575="Yes",Sum!$G575="Cash",Sum!N$548=M$5),Sum!N575,0)</f>
        <v>0</v>
      </c>
      <c r="N43" s="13">
        <f>IF(AND(Sum!$F575="Yes",Sum!$G575="Cash",Sum!O$548=N$5),Sum!O575,0)</f>
        <v>0</v>
      </c>
      <c r="O43" s="13">
        <f>IF(AND(Sum!$F575="Yes",Sum!$G575="Cash",Sum!P$548=O$5),Sum!P575,0)</f>
        <v>0</v>
      </c>
      <c r="P43" s="13">
        <f>IF(AND(Sum!$F575="Yes",Sum!$G575="Cash",Sum!Q$548=P$5),Sum!Q575,0)</f>
        <v>0</v>
      </c>
      <c r="Q43" s="264" t="str">
        <f>IF(AND(Sum!$F575="Yes",Sum!$G575="Cash"),Sum!$E575,"")</f>
        <v/>
      </c>
    </row>
    <row r="44" spans="1:17" ht="12.75" customHeight="1" x14ac:dyDescent="0.25">
      <c r="A44" s="18"/>
      <c r="B44" s="306" t="str">
        <f>IF(AND(Sum!$F576="Yes",Sum!$G576="Cash"),Sum!$B576,"")</f>
        <v/>
      </c>
      <c r="C44" s="3"/>
      <c r="D44" s="3"/>
      <c r="E44" s="13"/>
      <c r="F44" s="13"/>
      <c r="G44" s="153">
        <f>IF(AND(Sum!$F576="Yes",Sum!$G576="Cash",Sum!H$548=G$5),Sum!H576,0)</f>
        <v>0</v>
      </c>
      <c r="H44" s="13">
        <f>IF(AND(Sum!$F576="Yes",Sum!$G576="Cash",Sum!I$548=H$5),Sum!I576,0)</f>
        <v>0</v>
      </c>
      <c r="I44" s="13">
        <f>IF(AND(Sum!$F576="Yes",Sum!$G576="Cash",Sum!J$548=I$5),Sum!J576,0)</f>
        <v>0</v>
      </c>
      <c r="J44" s="13">
        <f>IF(AND(Sum!$F576="Yes",Sum!$G576="Cash",Sum!K$548=J$5),Sum!K576,0)</f>
        <v>0</v>
      </c>
      <c r="K44" s="13">
        <f>IF(AND(Sum!$F576="Yes",Sum!$G576="Cash",Sum!L$548=K$5),Sum!L576,0)</f>
        <v>0</v>
      </c>
      <c r="L44" s="13">
        <f>IF(AND(Sum!$F576="Yes",Sum!$G576="Cash",Sum!M$548=L$5),Sum!M576,0)</f>
        <v>0</v>
      </c>
      <c r="M44" s="13">
        <f>IF(AND(Sum!$F576="Yes",Sum!$G576="Cash",Sum!N$548=M$5),Sum!N576,0)</f>
        <v>0</v>
      </c>
      <c r="N44" s="13">
        <f>IF(AND(Sum!$F576="Yes",Sum!$G576="Cash",Sum!O$548=N$5),Sum!O576,0)</f>
        <v>0</v>
      </c>
      <c r="O44" s="13">
        <f>IF(AND(Sum!$F576="Yes",Sum!$G576="Cash",Sum!P$548=O$5),Sum!P576,0)</f>
        <v>0</v>
      </c>
      <c r="P44" s="13">
        <f>IF(AND(Sum!$F576="Yes",Sum!$G576="Cash",Sum!Q$548=P$5),Sum!Q576,0)</f>
        <v>0</v>
      </c>
      <c r="Q44" s="264" t="str">
        <f>IF(AND(Sum!$F576="Yes",Sum!$G576="Cash"),Sum!$E576,"")</f>
        <v/>
      </c>
    </row>
    <row r="45" spans="1:17" ht="12.75" customHeight="1" x14ac:dyDescent="0.25">
      <c r="A45" s="18"/>
      <c r="B45" s="306" t="str">
        <f>IF(AND(Sum!$F577="Yes",Sum!$G577="Cash"),Sum!$B577,"")</f>
        <v/>
      </c>
      <c r="C45" s="3"/>
      <c r="D45" s="3"/>
      <c r="E45" s="13"/>
      <c r="F45" s="13"/>
      <c r="G45" s="153">
        <f>IF(AND(Sum!$F577="Yes",Sum!$G577="Cash",Sum!H$548=G$5),Sum!H577,0)</f>
        <v>0</v>
      </c>
      <c r="H45" s="13">
        <f>IF(AND(Sum!$F577="Yes",Sum!$G577="Cash",Sum!I$548=H$5),Sum!I577,0)</f>
        <v>0</v>
      </c>
      <c r="I45" s="13">
        <f>IF(AND(Sum!$F577="Yes",Sum!$G577="Cash",Sum!J$548=I$5),Sum!J577,0)</f>
        <v>0</v>
      </c>
      <c r="J45" s="13">
        <f>IF(AND(Sum!$F577="Yes",Sum!$G577="Cash",Sum!K$548=J$5),Sum!K577,0)</f>
        <v>0</v>
      </c>
      <c r="K45" s="13">
        <f>IF(AND(Sum!$F577="Yes",Sum!$G577="Cash",Sum!L$548=K$5),Sum!L577,0)</f>
        <v>0</v>
      </c>
      <c r="L45" s="13">
        <f>IF(AND(Sum!$F577="Yes",Sum!$G577="Cash",Sum!M$548=L$5),Sum!M577,0)</f>
        <v>0</v>
      </c>
      <c r="M45" s="13">
        <f>IF(AND(Sum!$F577="Yes",Sum!$G577="Cash",Sum!N$548=M$5),Sum!N577,0)</f>
        <v>0</v>
      </c>
      <c r="N45" s="13">
        <f>IF(AND(Sum!$F577="Yes",Sum!$G577="Cash",Sum!O$548=N$5),Sum!O577,0)</f>
        <v>0</v>
      </c>
      <c r="O45" s="13">
        <f>IF(AND(Sum!$F577="Yes",Sum!$G577="Cash",Sum!P$548=O$5),Sum!P577,0)</f>
        <v>0</v>
      </c>
      <c r="P45" s="13">
        <f>IF(AND(Sum!$F577="Yes",Sum!$G577="Cash",Sum!Q$548=P$5),Sum!Q577,0)</f>
        <v>0</v>
      </c>
      <c r="Q45" s="264" t="str">
        <f>IF(AND(Sum!$F577="Yes",Sum!$G577="Cash"),Sum!$E577,"")</f>
        <v/>
      </c>
    </row>
    <row r="46" spans="1:17" ht="12.75" customHeight="1" x14ac:dyDescent="0.25">
      <c r="A46" s="18"/>
      <c r="B46" s="306" t="str">
        <f>IF(AND(Sum!$F578="Yes",Sum!$G578="Cash"),Sum!$B578,"")</f>
        <v/>
      </c>
      <c r="C46" s="3"/>
      <c r="D46" s="3"/>
      <c r="E46" s="13"/>
      <c r="F46" s="13"/>
      <c r="G46" s="153">
        <f>IF(AND(Sum!$F578="Yes",Sum!$G578="Cash",Sum!H$548=G$5),Sum!H578,0)</f>
        <v>0</v>
      </c>
      <c r="H46" s="13">
        <f>IF(AND(Sum!$F578="Yes",Sum!$G578="Cash",Sum!I$548=H$5),Sum!I578,0)</f>
        <v>0</v>
      </c>
      <c r="I46" s="13">
        <f>IF(AND(Sum!$F578="Yes",Sum!$G578="Cash",Sum!J$548=I$5),Sum!J578,0)</f>
        <v>0</v>
      </c>
      <c r="J46" s="13">
        <f>IF(AND(Sum!$F578="Yes",Sum!$G578="Cash",Sum!K$548=J$5),Sum!K578,0)</f>
        <v>0</v>
      </c>
      <c r="K46" s="13">
        <f>IF(AND(Sum!$F578="Yes",Sum!$G578="Cash",Sum!L$548=K$5),Sum!L578,0)</f>
        <v>0</v>
      </c>
      <c r="L46" s="13">
        <f>IF(AND(Sum!$F578="Yes",Sum!$G578="Cash",Sum!M$548=L$5),Sum!M578,0)</f>
        <v>0</v>
      </c>
      <c r="M46" s="13">
        <f>IF(AND(Sum!$F578="Yes",Sum!$G578="Cash",Sum!N$548=M$5),Sum!N578,0)</f>
        <v>0</v>
      </c>
      <c r="N46" s="13">
        <f>IF(AND(Sum!$F578="Yes",Sum!$G578="Cash",Sum!O$548=N$5),Sum!O578,0)</f>
        <v>0</v>
      </c>
      <c r="O46" s="13">
        <f>IF(AND(Sum!$F578="Yes",Sum!$G578="Cash",Sum!P$548=O$5),Sum!P578,0)</f>
        <v>0</v>
      </c>
      <c r="P46" s="13">
        <f>IF(AND(Sum!$F578="Yes",Sum!$G578="Cash",Sum!Q$548=P$5),Sum!Q578,0)</f>
        <v>0</v>
      </c>
      <c r="Q46" s="264" t="str">
        <f>IF(AND(Sum!$F578="Yes",Sum!$G578="Cash"),Sum!$E578,"")</f>
        <v/>
      </c>
    </row>
    <row r="47" spans="1:17" ht="12.75" customHeight="1" x14ac:dyDescent="0.25">
      <c r="A47" s="18"/>
      <c r="B47" s="306" t="str">
        <f>IF(AND(Sum!$F579="Yes",Sum!$G579="Cash"),Sum!$B579,"")</f>
        <v/>
      </c>
      <c r="C47" s="3"/>
      <c r="D47" s="3"/>
      <c r="E47" s="13"/>
      <c r="F47" s="13"/>
      <c r="G47" s="153">
        <f>IF(AND(Sum!$F579="Yes",Sum!$G579="Cash",Sum!H$548=G$5),Sum!H579,0)</f>
        <v>0</v>
      </c>
      <c r="H47" s="13">
        <f>IF(AND(Sum!$F579="Yes",Sum!$G579="Cash",Sum!I$548=H$5),Sum!I579,0)</f>
        <v>0</v>
      </c>
      <c r="I47" s="13">
        <f>IF(AND(Sum!$F579="Yes",Sum!$G579="Cash",Sum!J$548=I$5),Sum!J579,0)</f>
        <v>0</v>
      </c>
      <c r="J47" s="13">
        <f>IF(AND(Sum!$F579="Yes",Sum!$G579="Cash",Sum!K$548=J$5),Sum!K579,0)</f>
        <v>0</v>
      </c>
      <c r="K47" s="13">
        <f>IF(AND(Sum!$F579="Yes",Sum!$G579="Cash",Sum!L$548=K$5),Sum!L579,0)</f>
        <v>0</v>
      </c>
      <c r="L47" s="13">
        <f>IF(AND(Sum!$F579="Yes",Sum!$G579="Cash",Sum!M$548=L$5),Sum!M579,0)</f>
        <v>0</v>
      </c>
      <c r="M47" s="13">
        <f>IF(AND(Sum!$F579="Yes",Sum!$G579="Cash",Sum!N$548=M$5),Sum!N579,0)</f>
        <v>0</v>
      </c>
      <c r="N47" s="13">
        <f>IF(AND(Sum!$F579="Yes",Sum!$G579="Cash",Sum!O$548=N$5),Sum!O579,0)</f>
        <v>0</v>
      </c>
      <c r="O47" s="13">
        <f>IF(AND(Sum!$F579="Yes",Sum!$G579="Cash",Sum!P$548=O$5),Sum!P579,0)</f>
        <v>0</v>
      </c>
      <c r="P47" s="13">
        <f>IF(AND(Sum!$F579="Yes",Sum!$G579="Cash",Sum!Q$548=P$5),Sum!Q579,0)</f>
        <v>0</v>
      </c>
      <c r="Q47" s="264" t="str">
        <f>IF(AND(Sum!$F579="Yes",Sum!$G579="Cash"),Sum!$E579,"")</f>
        <v/>
      </c>
    </row>
    <row r="48" spans="1:17" ht="12.75" customHeight="1" x14ac:dyDescent="0.25">
      <c r="A48" s="18"/>
      <c r="B48" s="306" t="str">
        <f>IF(AND(Sum!$F580="Yes",Sum!$G580="Cash"),Sum!$B580,"")</f>
        <v/>
      </c>
      <c r="C48" s="3"/>
      <c r="D48" s="3"/>
      <c r="E48" s="13"/>
      <c r="F48" s="13"/>
      <c r="G48" s="153">
        <f>IF(AND(Sum!$F580="Yes",Sum!$G580="Cash",Sum!H$548=G$5),Sum!H580,0)</f>
        <v>0</v>
      </c>
      <c r="H48" s="13">
        <f>IF(AND(Sum!$F580="Yes",Sum!$G580="Cash",Sum!I$548=H$5),Sum!I580,0)</f>
        <v>0</v>
      </c>
      <c r="I48" s="13">
        <f>IF(AND(Sum!$F580="Yes",Sum!$G580="Cash",Sum!J$548=I$5),Sum!J580,0)</f>
        <v>0</v>
      </c>
      <c r="J48" s="13">
        <f>IF(AND(Sum!$F580="Yes",Sum!$G580="Cash",Sum!K$548=J$5),Sum!K580,0)</f>
        <v>0</v>
      </c>
      <c r="K48" s="13">
        <f>IF(AND(Sum!$F580="Yes",Sum!$G580="Cash",Sum!L$548=K$5),Sum!L580,0)</f>
        <v>0</v>
      </c>
      <c r="L48" s="13">
        <f>IF(AND(Sum!$F580="Yes",Sum!$G580="Cash",Sum!M$548=L$5),Sum!M580,0)</f>
        <v>0</v>
      </c>
      <c r="M48" s="13">
        <f>IF(AND(Sum!$F580="Yes",Sum!$G580="Cash",Sum!N$548=M$5),Sum!N580,0)</f>
        <v>0</v>
      </c>
      <c r="N48" s="13">
        <f>IF(AND(Sum!$F580="Yes",Sum!$G580="Cash",Sum!O$548=N$5),Sum!O580,0)</f>
        <v>0</v>
      </c>
      <c r="O48" s="13">
        <f>IF(AND(Sum!$F580="Yes",Sum!$G580="Cash",Sum!P$548=O$5),Sum!P580,0)</f>
        <v>0</v>
      </c>
      <c r="P48" s="13">
        <f>IF(AND(Sum!$F580="Yes",Sum!$G580="Cash",Sum!Q$548=P$5),Sum!Q580,0)</f>
        <v>0</v>
      </c>
      <c r="Q48" s="264" t="str">
        <f>IF(AND(Sum!$F580="Yes",Sum!$G580="Cash"),Sum!$E580,"")</f>
        <v/>
      </c>
    </row>
    <row r="49" spans="1:17" ht="12.75" customHeight="1" x14ac:dyDescent="0.25">
      <c r="A49" s="18"/>
      <c r="B49" s="306" t="str">
        <f>IF(AND(Sum!$F581="Yes",Sum!$G581="Cash"),Sum!$B581,"")</f>
        <v/>
      </c>
      <c r="C49" s="3"/>
      <c r="D49" s="3"/>
      <c r="E49" s="13"/>
      <c r="F49" s="13"/>
      <c r="G49" s="153">
        <f>IF(AND(Sum!$F581="Yes",Sum!$G581="Cash",Sum!H$548=G$5),Sum!H581,0)</f>
        <v>0</v>
      </c>
      <c r="H49" s="13">
        <f>IF(AND(Sum!$F581="Yes",Sum!$G581="Cash",Sum!I$548=H$5),Sum!I581,0)</f>
        <v>0</v>
      </c>
      <c r="I49" s="13">
        <f>IF(AND(Sum!$F581="Yes",Sum!$G581="Cash",Sum!J$548=I$5),Sum!J581,0)</f>
        <v>0</v>
      </c>
      <c r="J49" s="13">
        <f>IF(AND(Sum!$F581="Yes",Sum!$G581="Cash",Sum!K$548=J$5),Sum!K581,0)</f>
        <v>0</v>
      </c>
      <c r="K49" s="13">
        <f>IF(AND(Sum!$F581="Yes",Sum!$G581="Cash",Sum!L$548=K$5),Sum!L581,0)</f>
        <v>0</v>
      </c>
      <c r="L49" s="13">
        <f>IF(AND(Sum!$F581="Yes",Sum!$G581="Cash",Sum!M$548=L$5),Sum!M581,0)</f>
        <v>0</v>
      </c>
      <c r="M49" s="13">
        <f>IF(AND(Sum!$F581="Yes",Sum!$G581="Cash",Sum!N$548=M$5),Sum!N581,0)</f>
        <v>0</v>
      </c>
      <c r="N49" s="13">
        <f>IF(AND(Sum!$F581="Yes",Sum!$G581="Cash",Sum!O$548=N$5),Sum!O581,0)</f>
        <v>0</v>
      </c>
      <c r="O49" s="13">
        <f>IF(AND(Sum!$F581="Yes",Sum!$G581="Cash",Sum!P$548=O$5),Sum!P581,0)</f>
        <v>0</v>
      </c>
      <c r="P49" s="13">
        <f>IF(AND(Sum!$F581="Yes",Sum!$G581="Cash",Sum!Q$548=P$5),Sum!Q581,0)</f>
        <v>0</v>
      </c>
      <c r="Q49" s="264" t="str">
        <f>IF(AND(Sum!$F581="Yes",Sum!$G581="Cash"),Sum!$E581,"")</f>
        <v/>
      </c>
    </row>
    <row r="50" spans="1:17" ht="12.75" customHeight="1" x14ac:dyDescent="0.25">
      <c r="A50" s="18"/>
      <c r="B50" s="306" t="str">
        <f>IF(AND(Sum!$F582="Yes",Sum!$G582="Cash"),Sum!$B582,"")</f>
        <v/>
      </c>
      <c r="C50" s="74"/>
      <c r="D50" s="74"/>
      <c r="E50" s="13"/>
      <c r="F50" s="13"/>
      <c r="G50" s="153">
        <f>IF(AND(Sum!$F582="Yes",Sum!$G582="Cash",Sum!H$548=G$5),Sum!H582,0)</f>
        <v>0</v>
      </c>
      <c r="H50" s="13">
        <f>IF(AND(Sum!$F582="Yes",Sum!$G582="Cash",Sum!I$548=H$5),Sum!I582,0)</f>
        <v>0</v>
      </c>
      <c r="I50" s="13">
        <f>IF(AND(Sum!$F582="Yes",Sum!$G582="Cash",Sum!J$548=I$5),Sum!J582,0)</f>
        <v>0</v>
      </c>
      <c r="J50" s="13">
        <f>IF(AND(Sum!$F582="Yes",Sum!$G582="Cash",Sum!K$548=J$5),Sum!K582,0)</f>
        <v>0</v>
      </c>
      <c r="K50" s="13">
        <f>IF(AND(Sum!$F582="Yes",Sum!$G582="Cash",Sum!L$548=K$5),Sum!L582,0)</f>
        <v>0</v>
      </c>
      <c r="L50" s="13">
        <f>IF(AND(Sum!$F582="Yes",Sum!$G582="Cash",Sum!M$548=L$5),Sum!M582,0)</f>
        <v>0</v>
      </c>
      <c r="M50" s="13">
        <f>IF(AND(Sum!$F582="Yes",Sum!$G582="Cash",Sum!N$548=M$5),Sum!N582,0)</f>
        <v>0</v>
      </c>
      <c r="N50" s="13">
        <f>IF(AND(Sum!$F582="Yes",Sum!$G582="Cash",Sum!O$548=N$5),Sum!O582,0)</f>
        <v>0</v>
      </c>
      <c r="O50" s="13">
        <f>IF(AND(Sum!$F582="Yes",Sum!$G582="Cash",Sum!P$548=O$5),Sum!P582,0)</f>
        <v>0</v>
      </c>
      <c r="P50" s="13">
        <f>IF(AND(Sum!$F582="Yes",Sum!$G582="Cash",Sum!Q$548=P$5),Sum!Q582,0)</f>
        <v>0</v>
      </c>
      <c r="Q50" s="264" t="str">
        <f>IF(AND(Sum!$F582="Yes",Sum!$G582="Cash"),Sum!$E582,"")</f>
        <v/>
      </c>
    </row>
    <row r="51" spans="1:17" ht="12.75" customHeight="1" x14ac:dyDescent="0.25">
      <c r="A51" s="18"/>
      <c r="B51" s="306" t="str">
        <f>IF(AND(Sum!$F583="Yes",Sum!$G583="Cash"),Sum!$B583,"")</f>
        <v/>
      </c>
      <c r="C51" s="74"/>
      <c r="D51" s="74"/>
      <c r="E51" s="13"/>
      <c r="F51" s="13"/>
      <c r="G51" s="153">
        <f>IF(AND(Sum!$F583="Yes",Sum!$G583="Cash",Sum!H$548=G$5),Sum!H583,0)</f>
        <v>0</v>
      </c>
      <c r="H51" s="13">
        <f>IF(AND(Sum!$F583="Yes",Sum!$G583="Cash",Sum!I$548=H$5),Sum!I583,0)</f>
        <v>0</v>
      </c>
      <c r="I51" s="13">
        <f>IF(AND(Sum!$F583="Yes",Sum!$G583="Cash",Sum!J$548=I$5),Sum!J583,0)</f>
        <v>0</v>
      </c>
      <c r="J51" s="13">
        <f>IF(AND(Sum!$F583="Yes",Sum!$G583="Cash",Sum!K$548=J$5),Sum!K583,0)</f>
        <v>0</v>
      </c>
      <c r="K51" s="13">
        <f>IF(AND(Sum!$F583="Yes",Sum!$G583="Cash",Sum!L$548=K$5),Sum!L583,0)</f>
        <v>0</v>
      </c>
      <c r="L51" s="13">
        <f>IF(AND(Sum!$F583="Yes",Sum!$G583="Cash",Sum!M$548=L$5),Sum!M583,0)</f>
        <v>0</v>
      </c>
      <c r="M51" s="13">
        <f>IF(AND(Sum!$F583="Yes",Sum!$G583="Cash",Sum!N$548=M$5),Sum!N583,0)</f>
        <v>0</v>
      </c>
      <c r="N51" s="13">
        <f>IF(AND(Sum!$F583="Yes",Sum!$G583="Cash",Sum!O$548=N$5),Sum!O583,0)</f>
        <v>0</v>
      </c>
      <c r="O51" s="13">
        <f>IF(AND(Sum!$F583="Yes",Sum!$G583="Cash",Sum!P$548=O$5),Sum!P583,0)</f>
        <v>0</v>
      </c>
      <c r="P51" s="13">
        <f>IF(AND(Sum!$F583="Yes",Sum!$G583="Cash",Sum!Q$548=P$5),Sum!Q583,0)</f>
        <v>0</v>
      </c>
      <c r="Q51" s="264" t="str">
        <f>IF(AND(Sum!$F583="Yes",Sum!$G583="Cash"),Sum!$E583,"")</f>
        <v/>
      </c>
    </row>
    <row r="52" spans="1:17" ht="12.75" customHeight="1" x14ac:dyDescent="0.25">
      <c r="A52" s="18"/>
      <c r="B52" s="306" t="str">
        <f>IF(AND(Sum!$F584="Yes",Sum!$G584="Cash"),Sum!$B584,"")</f>
        <v/>
      </c>
      <c r="C52" s="3"/>
      <c r="D52" s="3"/>
      <c r="E52" s="13"/>
      <c r="F52" s="13"/>
      <c r="G52" s="153">
        <f>IF(AND(Sum!$F584="Yes",Sum!$G584="Cash",Sum!H$548=G$5),Sum!H584,0)</f>
        <v>0</v>
      </c>
      <c r="H52" s="13">
        <f>IF(AND(Sum!$F584="Yes",Sum!$G584="Cash",Sum!I$548=H$5),Sum!I584,0)</f>
        <v>0</v>
      </c>
      <c r="I52" s="13">
        <f>IF(AND(Sum!$F584="Yes",Sum!$G584="Cash",Sum!J$548=I$5),Sum!J584,0)</f>
        <v>0</v>
      </c>
      <c r="J52" s="13">
        <f>IF(AND(Sum!$F584="Yes",Sum!$G584="Cash",Sum!K$548=J$5),Sum!K584,0)</f>
        <v>0</v>
      </c>
      <c r="K52" s="13">
        <f>IF(AND(Sum!$F584="Yes",Sum!$G584="Cash",Sum!L$548=K$5),Sum!L584,0)</f>
        <v>0</v>
      </c>
      <c r="L52" s="13">
        <f>IF(AND(Sum!$F584="Yes",Sum!$G584="Cash",Sum!M$548=L$5),Sum!M584,0)</f>
        <v>0</v>
      </c>
      <c r="M52" s="13">
        <f>IF(AND(Sum!$F584="Yes",Sum!$G584="Cash",Sum!N$548=M$5),Sum!N584,0)</f>
        <v>0</v>
      </c>
      <c r="N52" s="13">
        <f>IF(AND(Sum!$F584="Yes",Sum!$G584="Cash",Sum!O$548=N$5),Sum!O584,0)</f>
        <v>0</v>
      </c>
      <c r="O52" s="13">
        <f>IF(AND(Sum!$F584="Yes",Sum!$G584="Cash",Sum!P$548=O$5),Sum!P584,0)</f>
        <v>0</v>
      </c>
      <c r="P52" s="13">
        <f>IF(AND(Sum!$F584="Yes",Sum!$G584="Cash",Sum!Q$548=P$5),Sum!Q584,0)</f>
        <v>0</v>
      </c>
      <c r="Q52" s="264" t="str">
        <f>IF(AND(Sum!$F584="Yes",Sum!$G584="Cash"),Sum!$E584,"")</f>
        <v/>
      </c>
    </row>
    <row r="53" spans="1:17" ht="12.75" customHeight="1" x14ac:dyDescent="0.25">
      <c r="A53" s="18"/>
      <c r="B53" s="306" t="str">
        <f>IF(AND(Sum!$F585="Yes",Sum!$G585="Cash"),Sum!$B585,"")</f>
        <v/>
      </c>
      <c r="C53" s="3"/>
      <c r="D53" s="3"/>
      <c r="E53" s="13"/>
      <c r="F53" s="13"/>
      <c r="G53" s="153">
        <f>IF(AND(Sum!$F585="Yes",Sum!$G585="Cash",Sum!H$548=G$5),Sum!H585,0)</f>
        <v>0</v>
      </c>
      <c r="H53" s="13">
        <f>IF(AND(Sum!$F585="Yes",Sum!$G585="Cash",Sum!I$548=H$5),Sum!I585,0)</f>
        <v>0</v>
      </c>
      <c r="I53" s="13">
        <f>IF(AND(Sum!$F585="Yes",Sum!$G585="Cash",Sum!J$548=I$5),Sum!J585,0)</f>
        <v>0</v>
      </c>
      <c r="J53" s="13">
        <f>IF(AND(Sum!$F585="Yes",Sum!$G585="Cash",Sum!K$548=J$5),Sum!K585,0)</f>
        <v>0</v>
      </c>
      <c r="K53" s="13">
        <f>IF(AND(Sum!$F585="Yes",Sum!$G585="Cash",Sum!L$548=K$5),Sum!L585,0)</f>
        <v>0</v>
      </c>
      <c r="L53" s="13">
        <f>IF(AND(Sum!$F585="Yes",Sum!$G585="Cash",Sum!M$548=L$5),Sum!M585,0)</f>
        <v>0</v>
      </c>
      <c r="M53" s="13">
        <f>IF(AND(Sum!$F585="Yes",Sum!$G585="Cash",Sum!N$548=M$5),Sum!N585,0)</f>
        <v>0</v>
      </c>
      <c r="N53" s="13">
        <f>IF(AND(Sum!$F585="Yes",Sum!$G585="Cash",Sum!O$548=N$5),Sum!O585,0)</f>
        <v>0</v>
      </c>
      <c r="O53" s="13">
        <f>IF(AND(Sum!$F585="Yes",Sum!$G585="Cash",Sum!P$548=O$5),Sum!P585,0)</f>
        <v>0</v>
      </c>
      <c r="P53" s="13">
        <f>IF(AND(Sum!$F585="Yes",Sum!$G585="Cash",Sum!Q$548=P$5),Sum!Q585,0)</f>
        <v>0</v>
      </c>
      <c r="Q53" s="264" t="str">
        <f>IF(AND(Sum!$F585="Yes",Sum!$G585="Cash"),Sum!$E585,"")</f>
        <v/>
      </c>
    </row>
    <row r="54" spans="1:17" ht="12.75" customHeight="1" x14ac:dyDescent="0.25">
      <c r="A54" s="18"/>
      <c r="B54" s="306" t="str">
        <f>IF(AND(Sum!$F586="Yes",Sum!$G586="Cash"),Sum!$B586,"")</f>
        <v/>
      </c>
      <c r="C54" s="3"/>
      <c r="D54" s="3"/>
      <c r="E54" s="13"/>
      <c r="F54" s="13"/>
      <c r="G54" s="153">
        <f>IF(AND(Sum!$F586="Yes",Sum!$G586="Cash",Sum!H$548=G$5),Sum!H586,0)</f>
        <v>0</v>
      </c>
      <c r="H54" s="13">
        <f>IF(AND(Sum!$F586="Yes",Sum!$G586="Cash",Sum!I$548=H$5),Sum!I586,0)</f>
        <v>0</v>
      </c>
      <c r="I54" s="13">
        <f>IF(AND(Sum!$F586="Yes",Sum!$G586="Cash",Sum!J$548=I$5),Sum!J586,0)</f>
        <v>0</v>
      </c>
      <c r="J54" s="13">
        <f>IF(AND(Sum!$F586="Yes",Sum!$G586="Cash",Sum!K$548=J$5),Sum!K586,0)</f>
        <v>0</v>
      </c>
      <c r="K54" s="13">
        <f>IF(AND(Sum!$F586="Yes",Sum!$G586="Cash",Sum!L$548=K$5),Sum!L586,0)</f>
        <v>0</v>
      </c>
      <c r="L54" s="13">
        <f>IF(AND(Sum!$F586="Yes",Sum!$G586="Cash",Sum!M$548=L$5),Sum!M586,0)</f>
        <v>0</v>
      </c>
      <c r="M54" s="13">
        <f>IF(AND(Sum!$F586="Yes",Sum!$G586="Cash",Sum!N$548=M$5),Sum!N586,0)</f>
        <v>0</v>
      </c>
      <c r="N54" s="13">
        <f>IF(AND(Sum!$F586="Yes",Sum!$G586="Cash",Sum!O$548=N$5),Sum!O586,0)</f>
        <v>0</v>
      </c>
      <c r="O54" s="13">
        <f>IF(AND(Sum!$F586="Yes",Sum!$G586="Cash",Sum!P$548=O$5),Sum!P586,0)</f>
        <v>0</v>
      </c>
      <c r="P54" s="13">
        <f>IF(AND(Sum!$F586="Yes",Sum!$G586="Cash",Sum!Q$548=P$5),Sum!Q586,0)</f>
        <v>0</v>
      </c>
      <c r="Q54" s="264" t="str">
        <f>IF(AND(Sum!$F586="Yes",Sum!$G586="Cash"),Sum!$E586,"")</f>
        <v/>
      </c>
    </row>
    <row r="55" spans="1:17" ht="12.75" customHeight="1" x14ac:dyDescent="0.25">
      <c r="A55" s="18"/>
      <c r="B55" s="306" t="str">
        <f>IF(AND(Sum!$F587="Yes",Sum!$G587="Cash"),Sum!$B587,"")</f>
        <v/>
      </c>
      <c r="C55" s="3"/>
      <c r="D55" s="3"/>
      <c r="E55" s="13"/>
      <c r="F55" s="13"/>
      <c r="G55" s="153">
        <f>IF(AND(Sum!$F587="Yes",Sum!$G587="Cash",Sum!H$548=G$5),Sum!H587,0)</f>
        <v>0</v>
      </c>
      <c r="H55" s="13">
        <f>IF(AND(Sum!$F587="Yes",Sum!$G587="Cash",Sum!I$548=H$5),Sum!I587,0)</f>
        <v>0</v>
      </c>
      <c r="I55" s="13">
        <f>IF(AND(Sum!$F587="Yes",Sum!$G587="Cash",Sum!J$548=I$5),Sum!J587,0)</f>
        <v>0</v>
      </c>
      <c r="J55" s="13">
        <f>IF(AND(Sum!$F587="Yes",Sum!$G587="Cash",Sum!K$548=J$5),Sum!K587,0)</f>
        <v>0</v>
      </c>
      <c r="K55" s="13">
        <f>IF(AND(Sum!$F587="Yes",Sum!$G587="Cash",Sum!L$548=K$5),Sum!L587,0)</f>
        <v>0</v>
      </c>
      <c r="L55" s="13">
        <f>IF(AND(Sum!$F587="Yes",Sum!$G587="Cash",Sum!M$548=L$5),Sum!M587,0)</f>
        <v>0</v>
      </c>
      <c r="M55" s="13">
        <f>IF(AND(Sum!$F587="Yes",Sum!$G587="Cash",Sum!N$548=M$5),Sum!N587,0)</f>
        <v>0</v>
      </c>
      <c r="N55" s="13">
        <f>IF(AND(Sum!$F587="Yes",Sum!$G587="Cash",Sum!O$548=N$5),Sum!O587,0)</f>
        <v>0</v>
      </c>
      <c r="O55" s="13">
        <f>IF(AND(Sum!$F587="Yes",Sum!$G587="Cash",Sum!P$548=O$5),Sum!P587,0)</f>
        <v>0</v>
      </c>
      <c r="P55" s="13">
        <f>IF(AND(Sum!$F587="Yes",Sum!$G587="Cash",Sum!Q$548=P$5),Sum!Q587,0)</f>
        <v>0</v>
      </c>
      <c r="Q55" s="264" t="str">
        <f>IF(AND(Sum!$F587="Yes",Sum!$G587="Cash"),Sum!$E587,"")</f>
        <v/>
      </c>
    </row>
    <row r="56" spans="1:17" ht="12.75" customHeight="1" x14ac:dyDescent="0.25">
      <c r="A56" s="18"/>
      <c r="B56" s="306" t="str">
        <f>IF(AND(Sum!$F588="Yes",Sum!$G588="Cash"),Sum!$B588,"")</f>
        <v/>
      </c>
      <c r="C56" s="3"/>
      <c r="D56" s="3"/>
      <c r="E56" s="13"/>
      <c r="F56" s="13"/>
      <c r="G56" s="153">
        <f>IF(AND(Sum!$F588="Yes",Sum!$G588="Cash",Sum!H$548=G$5),Sum!H588,0)</f>
        <v>0</v>
      </c>
      <c r="H56" s="13">
        <f>IF(AND(Sum!$F588="Yes",Sum!$G588="Cash",Sum!I$548=H$5),Sum!I588,0)</f>
        <v>0</v>
      </c>
      <c r="I56" s="13">
        <f>IF(AND(Sum!$F588="Yes",Sum!$G588="Cash",Sum!J$548=I$5),Sum!J588,0)</f>
        <v>0</v>
      </c>
      <c r="J56" s="13">
        <f>IF(AND(Sum!$F588="Yes",Sum!$G588="Cash",Sum!K$548=J$5),Sum!K588,0)</f>
        <v>0</v>
      </c>
      <c r="K56" s="13">
        <f>IF(AND(Sum!$F588="Yes",Sum!$G588="Cash",Sum!L$548=K$5),Sum!L588,0)</f>
        <v>0</v>
      </c>
      <c r="L56" s="13">
        <f>IF(AND(Sum!$F588="Yes",Sum!$G588="Cash",Sum!M$548=L$5),Sum!M588,0)</f>
        <v>0</v>
      </c>
      <c r="M56" s="13">
        <f>IF(AND(Sum!$F588="Yes",Sum!$G588="Cash",Sum!N$548=M$5),Sum!N588,0)</f>
        <v>0</v>
      </c>
      <c r="N56" s="13">
        <f>IF(AND(Sum!$F588="Yes",Sum!$G588="Cash",Sum!O$548=N$5),Sum!O588,0)</f>
        <v>0</v>
      </c>
      <c r="O56" s="13">
        <f>IF(AND(Sum!$F588="Yes",Sum!$G588="Cash",Sum!P$548=O$5),Sum!P588,0)</f>
        <v>0</v>
      </c>
      <c r="P56" s="13">
        <f>IF(AND(Sum!$F588="Yes",Sum!$G588="Cash",Sum!Q$548=P$5),Sum!Q588,0)</f>
        <v>0</v>
      </c>
      <c r="Q56" s="264" t="str">
        <f>IF(AND(Sum!$F588="Yes",Sum!$G588="Cash"),Sum!$E588,"")</f>
        <v/>
      </c>
    </row>
    <row r="57" spans="1:17" ht="12.75" customHeight="1" x14ac:dyDescent="0.25">
      <c r="A57" s="18"/>
      <c r="B57" s="306" t="str">
        <f>IF(AND(Sum!$F589="Yes",Sum!$G589="Cash"),Sum!$B589,"")</f>
        <v/>
      </c>
      <c r="C57" s="3"/>
      <c r="D57" s="3"/>
      <c r="E57" s="13"/>
      <c r="F57" s="13"/>
      <c r="G57" s="153">
        <f>IF(AND(Sum!$F589="Yes",Sum!$G589="Cash",Sum!H$548=G$5),Sum!H589,0)</f>
        <v>0</v>
      </c>
      <c r="H57" s="13">
        <f>IF(AND(Sum!$F589="Yes",Sum!$G589="Cash",Sum!I$548=H$5),Sum!I589,0)</f>
        <v>0</v>
      </c>
      <c r="I57" s="13">
        <f>IF(AND(Sum!$F589="Yes",Sum!$G589="Cash",Sum!J$548=I$5),Sum!J589,0)</f>
        <v>0</v>
      </c>
      <c r="J57" s="13">
        <f>IF(AND(Sum!$F589="Yes",Sum!$G589="Cash",Sum!K$548=J$5),Sum!K589,0)</f>
        <v>0</v>
      </c>
      <c r="K57" s="13">
        <f>IF(AND(Sum!$F589="Yes",Sum!$G589="Cash",Sum!L$548=K$5),Sum!L589,0)</f>
        <v>0</v>
      </c>
      <c r="L57" s="13">
        <f>IF(AND(Sum!$F589="Yes",Sum!$G589="Cash",Sum!M$548=L$5),Sum!M589,0)</f>
        <v>0</v>
      </c>
      <c r="M57" s="13">
        <f>IF(AND(Sum!$F589="Yes",Sum!$G589="Cash",Sum!N$548=M$5),Sum!N589,0)</f>
        <v>0</v>
      </c>
      <c r="N57" s="13">
        <f>IF(AND(Sum!$F589="Yes",Sum!$G589="Cash",Sum!O$548=N$5),Sum!O589,0)</f>
        <v>0</v>
      </c>
      <c r="O57" s="13">
        <f>IF(AND(Sum!$F589="Yes",Sum!$G589="Cash",Sum!P$548=O$5),Sum!P589,0)</f>
        <v>0</v>
      </c>
      <c r="P57" s="13">
        <f>IF(AND(Sum!$F589="Yes",Sum!$G589="Cash",Sum!Q$548=P$5),Sum!Q589,0)</f>
        <v>0</v>
      </c>
      <c r="Q57" s="264" t="str">
        <f>IF(AND(Sum!$F589="Yes",Sum!$G589="Cash"),Sum!$E589,"")</f>
        <v/>
      </c>
    </row>
    <row r="58" spans="1:17" ht="12.75" customHeight="1" x14ac:dyDescent="0.25">
      <c r="A58" s="18"/>
      <c r="B58" s="306" t="str">
        <f>IF(AND(Sum!$F590="Yes",Sum!$G590="Cash"),Sum!$B590,"")</f>
        <v/>
      </c>
      <c r="C58" s="3"/>
      <c r="D58" s="3"/>
      <c r="E58" s="13"/>
      <c r="F58" s="13"/>
      <c r="G58" s="153">
        <f>IF(AND(Sum!$F590="Yes",Sum!$G590="Cash",Sum!H$548=G$5),Sum!H590,0)</f>
        <v>0</v>
      </c>
      <c r="H58" s="13">
        <f>IF(AND(Sum!$F590="Yes",Sum!$G590="Cash",Sum!I$548=H$5),Sum!I590,0)</f>
        <v>0</v>
      </c>
      <c r="I58" s="13">
        <f>IF(AND(Sum!$F590="Yes",Sum!$G590="Cash",Sum!J$548=I$5),Sum!J590,0)</f>
        <v>0</v>
      </c>
      <c r="J58" s="13">
        <f>IF(AND(Sum!$F590="Yes",Sum!$G590="Cash",Sum!K$548=J$5),Sum!K590,0)</f>
        <v>0</v>
      </c>
      <c r="K58" s="13">
        <f>IF(AND(Sum!$F590="Yes",Sum!$G590="Cash",Sum!L$548=K$5),Sum!L590,0)</f>
        <v>0</v>
      </c>
      <c r="L58" s="13">
        <f>IF(AND(Sum!$F590="Yes",Sum!$G590="Cash",Sum!M$548=L$5),Sum!M590,0)</f>
        <v>0</v>
      </c>
      <c r="M58" s="13">
        <f>IF(AND(Sum!$F590="Yes",Sum!$G590="Cash",Sum!N$548=M$5),Sum!N590,0)</f>
        <v>0</v>
      </c>
      <c r="N58" s="13">
        <f>IF(AND(Sum!$F590="Yes",Sum!$G590="Cash",Sum!O$548=N$5),Sum!O590,0)</f>
        <v>0</v>
      </c>
      <c r="O58" s="13">
        <f>IF(AND(Sum!$F590="Yes",Sum!$G590="Cash",Sum!P$548=O$5),Sum!P590,0)</f>
        <v>0</v>
      </c>
      <c r="P58" s="13">
        <f>IF(AND(Sum!$F590="Yes",Sum!$G590="Cash",Sum!Q$548=P$5),Sum!Q590,0)</f>
        <v>0</v>
      </c>
      <c r="Q58" s="264" t="str">
        <f>IF(AND(Sum!$F590="Yes",Sum!$G590="Cash"),Sum!$E590,"")</f>
        <v/>
      </c>
    </row>
    <row r="59" spans="1:17" ht="12.75" customHeight="1" x14ac:dyDescent="0.25">
      <c r="A59" s="18"/>
      <c r="B59" s="306" t="str">
        <f>IF(AND(Sum!$F591="Yes",Sum!$G591="Cash"),Sum!$B591,"")</f>
        <v/>
      </c>
      <c r="C59" s="3"/>
      <c r="D59" s="3"/>
      <c r="E59" s="13"/>
      <c r="F59" s="13"/>
      <c r="G59" s="153">
        <f>IF(AND(Sum!$F591="Yes",Sum!$G591="Cash",Sum!H$548=G$5),Sum!H591,0)</f>
        <v>0</v>
      </c>
      <c r="H59" s="13">
        <f>IF(AND(Sum!$F591="Yes",Sum!$G591="Cash",Sum!I$548=H$5),Sum!I591,0)</f>
        <v>0</v>
      </c>
      <c r="I59" s="13">
        <f>IF(AND(Sum!$F591="Yes",Sum!$G591="Cash",Sum!J$548=I$5),Sum!J591,0)</f>
        <v>0</v>
      </c>
      <c r="J59" s="13">
        <f>IF(AND(Sum!$F591="Yes",Sum!$G591="Cash",Sum!K$548=J$5),Sum!K591,0)</f>
        <v>0</v>
      </c>
      <c r="K59" s="13">
        <f>IF(AND(Sum!$F591="Yes",Sum!$G591="Cash",Sum!L$548=K$5),Sum!L591,0)</f>
        <v>0</v>
      </c>
      <c r="L59" s="13">
        <f>IF(AND(Sum!$F591="Yes",Sum!$G591="Cash",Sum!M$548=L$5),Sum!M591,0)</f>
        <v>0</v>
      </c>
      <c r="M59" s="13">
        <f>IF(AND(Sum!$F591="Yes",Sum!$G591="Cash",Sum!N$548=M$5),Sum!N591,0)</f>
        <v>0</v>
      </c>
      <c r="N59" s="13">
        <f>IF(AND(Sum!$F591="Yes",Sum!$G591="Cash",Sum!O$548=N$5),Sum!O591,0)</f>
        <v>0</v>
      </c>
      <c r="O59" s="13">
        <f>IF(AND(Sum!$F591="Yes",Sum!$G591="Cash",Sum!P$548=O$5),Sum!P591,0)</f>
        <v>0</v>
      </c>
      <c r="P59" s="13">
        <f>IF(AND(Sum!$F591="Yes",Sum!$G591="Cash",Sum!Q$548=P$5),Sum!Q591,0)</f>
        <v>0</v>
      </c>
      <c r="Q59" s="264" t="str">
        <f>IF(AND(Sum!$F591="Yes",Sum!$G591="Cash"),Sum!$E591,"")</f>
        <v/>
      </c>
    </row>
    <row r="60" spans="1:17" ht="12.75" customHeight="1" x14ac:dyDescent="0.25">
      <c r="A60" s="18"/>
      <c r="B60" s="306" t="str">
        <f>IF(AND(Sum!$F592="Yes",Sum!$G592="Cash"),Sum!$B592,"")</f>
        <v/>
      </c>
      <c r="C60" s="3"/>
      <c r="D60" s="3"/>
      <c r="E60" s="13"/>
      <c r="F60" s="13"/>
      <c r="G60" s="153">
        <f>IF(AND(Sum!$F592="Yes",Sum!$G592="Cash",Sum!H$548=G$5),Sum!H592,0)</f>
        <v>0</v>
      </c>
      <c r="H60" s="13">
        <f>IF(AND(Sum!$F592="Yes",Sum!$G592="Cash",Sum!I$548=H$5),Sum!I592,0)</f>
        <v>0</v>
      </c>
      <c r="I60" s="13">
        <f>IF(AND(Sum!$F592="Yes",Sum!$G592="Cash",Sum!J$548=I$5),Sum!J592,0)</f>
        <v>0</v>
      </c>
      <c r="J60" s="13">
        <f>IF(AND(Sum!$F592="Yes",Sum!$G592="Cash",Sum!K$548=J$5),Sum!K592,0)</f>
        <v>0</v>
      </c>
      <c r="K60" s="13">
        <f>IF(AND(Sum!$F592="Yes",Sum!$G592="Cash",Sum!L$548=K$5),Sum!L592,0)</f>
        <v>0</v>
      </c>
      <c r="L60" s="13">
        <f>IF(AND(Sum!$F592="Yes",Sum!$G592="Cash",Sum!M$548=L$5),Sum!M592,0)</f>
        <v>0</v>
      </c>
      <c r="M60" s="13">
        <f>IF(AND(Sum!$F592="Yes",Sum!$G592="Cash",Sum!N$548=M$5),Sum!N592,0)</f>
        <v>0</v>
      </c>
      <c r="N60" s="13">
        <f>IF(AND(Sum!$F592="Yes",Sum!$G592="Cash",Sum!O$548=N$5),Sum!O592,0)</f>
        <v>0</v>
      </c>
      <c r="O60" s="13">
        <f>IF(AND(Sum!$F592="Yes",Sum!$G592="Cash",Sum!P$548=O$5),Sum!P592,0)</f>
        <v>0</v>
      </c>
      <c r="P60" s="13">
        <f>IF(AND(Sum!$F592="Yes",Sum!$G592="Cash",Sum!Q$548=P$5),Sum!Q592,0)</f>
        <v>0</v>
      </c>
      <c r="Q60" s="264" t="str">
        <f>IF(AND(Sum!$F592="Yes",Sum!$G592="Cash"),Sum!$E592,"")</f>
        <v/>
      </c>
    </row>
    <row r="61" spans="1:17" ht="12.75" customHeight="1" x14ac:dyDescent="0.25">
      <c r="A61" s="18"/>
      <c r="B61" s="306" t="str">
        <f>IF(AND(Sum!$F593="Yes",Sum!$G593="Cash"),Sum!$B593,"")</f>
        <v/>
      </c>
      <c r="C61" s="3"/>
      <c r="D61" s="3"/>
      <c r="E61" s="13"/>
      <c r="F61" s="13"/>
      <c r="G61" s="153">
        <f>IF(AND(Sum!$F593="Yes",Sum!$G593="Cash",Sum!H$548=G$5),Sum!H593,0)</f>
        <v>0</v>
      </c>
      <c r="H61" s="13">
        <f>IF(AND(Sum!$F593="Yes",Sum!$G593="Cash",Sum!I$548=H$5),Sum!I593,0)</f>
        <v>0</v>
      </c>
      <c r="I61" s="13">
        <f>IF(AND(Sum!$F593="Yes",Sum!$G593="Cash",Sum!J$548=I$5),Sum!J593,0)</f>
        <v>0</v>
      </c>
      <c r="J61" s="13">
        <f>IF(AND(Sum!$F593="Yes",Sum!$G593="Cash",Sum!K$548=J$5),Sum!K593,0)</f>
        <v>0</v>
      </c>
      <c r="K61" s="13">
        <f>IF(AND(Sum!$F593="Yes",Sum!$G593="Cash",Sum!L$548=K$5),Sum!L593,0)</f>
        <v>0</v>
      </c>
      <c r="L61" s="13">
        <f>IF(AND(Sum!$F593="Yes",Sum!$G593="Cash",Sum!M$548=L$5),Sum!M593,0)</f>
        <v>0</v>
      </c>
      <c r="M61" s="13">
        <f>IF(AND(Sum!$F593="Yes",Sum!$G593="Cash",Sum!N$548=M$5),Sum!N593,0)</f>
        <v>0</v>
      </c>
      <c r="N61" s="13">
        <f>IF(AND(Sum!$F593="Yes",Sum!$G593="Cash",Sum!O$548=N$5),Sum!O593,0)</f>
        <v>0</v>
      </c>
      <c r="O61" s="13">
        <f>IF(AND(Sum!$F593="Yes",Sum!$G593="Cash",Sum!P$548=O$5),Sum!P593,0)</f>
        <v>0</v>
      </c>
      <c r="P61" s="13">
        <f>IF(AND(Sum!$F593="Yes",Sum!$G593="Cash",Sum!Q$548=P$5),Sum!Q593,0)</f>
        <v>0</v>
      </c>
      <c r="Q61" s="264" t="str">
        <f>IF(AND(Sum!$F593="Yes",Sum!$G593="Cash"),Sum!$E593,"")</f>
        <v/>
      </c>
    </row>
    <row r="62" spans="1:17" ht="12.75" customHeight="1" x14ac:dyDescent="0.25">
      <c r="A62" s="18"/>
      <c r="B62" s="306" t="str">
        <f>IF(AND(Sum!$F594="Yes",Sum!$G594="Cash"),Sum!$B594,"")</f>
        <v/>
      </c>
      <c r="C62" s="3"/>
      <c r="D62" s="3"/>
      <c r="E62" s="13"/>
      <c r="F62" s="13"/>
      <c r="G62" s="153">
        <f>IF(AND(Sum!$F594="Yes",Sum!$G594="Cash",Sum!H$548=G$5),Sum!H594,0)</f>
        <v>0</v>
      </c>
      <c r="H62" s="13">
        <f>IF(AND(Sum!$F594="Yes",Sum!$G594="Cash",Sum!I$548=H$5),Sum!I594,0)</f>
        <v>0</v>
      </c>
      <c r="I62" s="13">
        <f>IF(AND(Sum!$F594="Yes",Sum!$G594="Cash",Sum!J$548=I$5),Sum!J594,0)</f>
        <v>0</v>
      </c>
      <c r="J62" s="13">
        <f>IF(AND(Sum!$F594="Yes",Sum!$G594="Cash",Sum!K$548=J$5),Sum!K594,0)</f>
        <v>0</v>
      </c>
      <c r="K62" s="13">
        <f>IF(AND(Sum!$F594="Yes",Sum!$G594="Cash",Sum!L$548=K$5),Sum!L594,0)</f>
        <v>0</v>
      </c>
      <c r="L62" s="13">
        <f>IF(AND(Sum!$F594="Yes",Sum!$G594="Cash",Sum!M$548=L$5),Sum!M594,0)</f>
        <v>0</v>
      </c>
      <c r="M62" s="13">
        <f>IF(AND(Sum!$F594="Yes",Sum!$G594="Cash",Sum!N$548=M$5),Sum!N594,0)</f>
        <v>0</v>
      </c>
      <c r="N62" s="13">
        <f>IF(AND(Sum!$F594="Yes",Sum!$G594="Cash",Sum!O$548=N$5),Sum!O594,0)</f>
        <v>0</v>
      </c>
      <c r="O62" s="13">
        <f>IF(AND(Sum!$F594="Yes",Sum!$G594="Cash",Sum!P$548=O$5),Sum!P594,0)</f>
        <v>0</v>
      </c>
      <c r="P62" s="13">
        <f>IF(AND(Sum!$F594="Yes",Sum!$G594="Cash",Sum!Q$548=P$5),Sum!Q594,0)</f>
        <v>0</v>
      </c>
      <c r="Q62" s="264" t="str">
        <f>IF(AND(Sum!$F594="Yes",Sum!$G594="Cash"),Sum!$E594,"")</f>
        <v/>
      </c>
    </row>
    <row r="63" spans="1:17" ht="12.75" customHeight="1" x14ac:dyDescent="0.25">
      <c r="A63" s="18"/>
      <c r="B63" s="306" t="str">
        <f>IF(AND(Sum!$F595="Yes",Sum!$G595="Cash"),Sum!$B595,"")</f>
        <v/>
      </c>
      <c r="C63" s="3"/>
      <c r="D63" s="3"/>
      <c r="E63" s="13"/>
      <c r="F63" s="13"/>
      <c r="G63" s="153">
        <f>IF(AND(Sum!$F595="Yes",Sum!$G595="Cash",Sum!H$548=G$5),Sum!H595,0)</f>
        <v>0</v>
      </c>
      <c r="H63" s="13">
        <f>IF(AND(Sum!$F595="Yes",Sum!$G595="Cash",Sum!I$548=H$5),Sum!I595,0)</f>
        <v>0</v>
      </c>
      <c r="I63" s="13">
        <f>IF(AND(Sum!$F595="Yes",Sum!$G595="Cash",Sum!J$548=I$5),Sum!J595,0)</f>
        <v>0</v>
      </c>
      <c r="J63" s="13">
        <f>IF(AND(Sum!$F595="Yes",Sum!$G595="Cash",Sum!K$548=J$5),Sum!K595,0)</f>
        <v>0</v>
      </c>
      <c r="K63" s="13">
        <f>IF(AND(Sum!$F595="Yes",Sum!$G595="Cash",Sum!L$548=K$5),Sum!L595,0)</f>
        <v>0</v>
      </c>
      <c r="L63" s="13">
        <f>IF(AND(Sum!$F595="Yes",Sum!$G595="Cash",Sum!M$548=L$5),Sum!M595,0)</f>
        <v>0</v>
      </c>
      <c r="M63" s="13">
        <f>IF(AND(Sum!$F595="Yes",Sum!$G595="Cash",Sum!N$548=M$5),Sum!N595,0)</f>
        <v>0</v>
      </c>
      <c r="N63" s="13">
        <f>IF(AND(Sum!$F595="Yes",Sum!$G595="Cash",Sum!O$548=N$5),Sum!O595,0)</f>
        <v>0</v>
      </c>
      <c r="O63" s="13">
        <f>IF(AND(Sum!$F595="Yes",Sum!$G595="Cash",Sum!P$548=O$5),Sum!P595,0)</f>
        <v>0</v>
      </c>
      <c r="P63" s="13">
        <f>IF(AND(Sum!$F595="Yes",Sum!$G595="Cash",Sum!Q$548=P$5),Sum!Q595,0)</f>
        <v>0</v>
      </c>
      <c r="Q63" s="264" t="str">
        <f>IF(AND(Sum!$F595="Yes",Sum!$G595="Cash"),Sum!$E595,"")</f>
        <v/>
      </c>
    </row>
    <row r="64" spans="1:17" ht="12.75" customHeight="1" x14ac:dyDescent="0.25">
      <c r="A64" s="18"/>
      <c r="B64" s="306" t="str">
        <f>IF(AND(Sum!$F596="Yes",Sum!$G596="Cash"),Sum!$B596,"")</f>
        <v/>
      </c>
      <c r="C64" s="3"/>
      <c r="D64" s="3"/>
      <c r="E64" s="13"/>
      <c r="F64" s="13"/>
      <c r="G64" s="153">
        <f>IF(AND(Sum!$F596="Yes",Sum!$G596="Cash",Sum!H$548=G$5),Sum!H596,0)</f>
        <v>0</v>
      </c>
      <c r="H64" s="13">
        <f>IF(AND(Sum!$F596="Yes",Sum!$G596="Cash",Sum!I$548=H$5),Sum!I596,0)</f>
        <v>0</v>
      </c>
      <c r="I64" s="13">
        <f>IF(AND(Sum!$F596="Yes",Sum!$G596="Cash",Sum!J$548=I$5),Sum!J596,0)</f>
        <v>0</v>
      </c>
      <c r="J64" s="13">
        <f>IF(AND(Sum!$F596="Yes",Sum!$G596="Cash",Sum!K$548=J$5),Sum!K596,0)</f>
        <v>0</v>
      </c>
      <c r="K64" s="13">
        <f>IF(AND(Sum!$F596="Yes",Sum!$G596="Cash",Sum!L$548=K$5),Sum!L596,0)</f>
        <v>0</v>
      </c>
      <c r="L64" s="13">
        <f>IF(AND(Sum!$F596="Yes",Sum!$G596="Cash",Sum!M$548=L$5),Sum!M596,0)</f>
        <v>0</v>
      </c>
      <c r="M64" s="13">
        <f>IF(AND(Sum!$F596="Yes",Sum!$G596="Cash",Sum!N$548=M$5),Sum!N596,0)</f>
        <v>0</v>
      </c>
      <c r="N64" s="13">
        <f>IF(AND(Sum!$F596="Yes",Sum!$G596="Cash",Sum!O$548=N$5),Sum!O596,0)</f>
        <v>0</v>
      </c>
      <c r="O64" s="13">
        <f>IF(AND(Sum!$F596="Yes",Sum!$G596="Cash",Sum!P$548=O$5),Sum!P596,0)</f>
        <v>0</v>
      </c>
      <c r="P64" s="13">
        <f>IF(AND(Sum!$F596="Yes",Sum!$G596="Cash",Sum!Q$548=P$5),Sum!Q596,0)</f>
        <v>0</v>
      </c>
      <c r="Q64" s="264" t="str">
        <f>IF(AND(Sum!$F596="Yes",Sum!$G596="Cash"),Sum!$E596,"")</f>
        <v/>
      </c>
    </row>
    <row r="65" spans="1:17" ht="12.75" customHeight="1" x14ac:dyDescent="0.25">
      <c r="A65" s="18"/>
      <c r="B65" s="306" t="str">
        <f>IF(AND(Sum!$F597="Yes",Sum!$G597="Cash"),Sum!$B597,"")</f>
        <v/>
      </c>
      <c r="C65" s="3"/>
      <c r="D65" s="3"/>
      <c r="E65" s="13"/>
      <c r="F65" s="13"/>
      <c r="G65" s="153">
        <f>IF(AND(Sum!$F597="Yes",Sum!$G597="Cash",Sum!H$548=G$5),Sum!H597,0)</f>
        <v>0</v>
      </c>
      <c r="H65" s="13">
        <f>IF(AND(Sum!$F597="Yes",Sum!$G597="Cash",Sum!I$548=H$5),Sum!I597,0)</f>
        <v>0</v>
      </c>
      <c r="I65" s="13">
        <f>IF(AND(Sum!$F597="Yes",Sum!$G597="Cash",Sum!J$548=I$5),Sum!J597,0)</f>
        <v>0</v>
      </c>
      <c r="J65" s="13">
        <f>IF(AND(Sum!$F597="Yes",Sum!$G597="Cash",Sum!K$548=J$5),Sum!K597,0)</f>
        <v>0</v>
      </c>
      <c r="K65" s="13">
        <f>IF(AND(Sum!$F597="Yes",Sum!$G597="Cash",Sum!L$548=K$5),Sum!L597,0)</f>
        <v>0</v>
      </c>
      <c r="L65" s="13">
        <f>IF(AND(Sum!$F597="Yes",Sum!$G597="Cash",Sum!M$548=L$5),Sum!M597,0)</f>
        <v>0</v>
      </c>
      <c r="M65" s="13">
        <f>IF(AND(Sum!$F597="Yes",Sum!$G597="Cash",Sum!N$548=M$5),Sum!N597,0)</f>
        <v>0</v>
      </c>
      <c r="N65" s="13">
        <f>IF(AND(Sum!$F597="Yes",Sum!$G597="Cash",Sum!O$548=N$5),Sum!O597,0)</f>
        <v>0</v>
      </c>
      <c r="O65" s="13">
        <f>IF(AND(Sum!$F597="Yes",Sum!$G597="Cash",Sum!P$548=O$5),Sum!P597,0)</f>
        <v>0</v>
      </c>
      <c r="P65" s="13">
        <f>IF(AND(Sum!$F597="Yes",Sum!$G597="Cash",Sum!Q$548=P$5),Sum!Q597,0)</f>
        <v>0</v>
      </c>
      <c r="Q65" s="264" t="str">
        <f>IF(AND(Sum!$F597="Yes",Sum!$G597="Cash"),Sum!$E597,"")</f>
        <v/>
      </c>
    </row>
    <row r="66" spans="1:17" ht="12.75" customHeight="1" x14ac:dyDescent="0.25">
      <c r="A66" s="100"/>
      <c r="B66" s="307" t="str">
        <f>IF(AND(Sum!$F598="Yes",Sum!$G598="Cash"),Sum!$B598,"")</f>
        <v/>
      </c>
      <c r="C66" s="22"/>
      <c r="D66" s="22"/>
      <c r="E66" s="30"/>
      <c r="F66" s="30"/>
      <c r="G66" s="154">
        <f>IF(AND(Sum!$F598="Yes",Sum!$G598="Cash",Sum!H$548=G$5),Sum!H598,0)</f>
        <v>0</v>
      </c>
      <c r="H66" s="30">
        <f>IF(AND(Sum!$F598="Yes",Sum!$G598="Cash",Sum!I$548=H$5),Sum!I598,0)</f>
        <v>0</v>
      </c>
      <c r="I66" s="30">
        <f>IF(AND(Sum!$F598="Yes",Sum!$G598="Cash",Sum!J$548=I$5),Sum!J598,0)</f>
        <v>0</v>
      </c>
      <c r="J66" s="30">
        <f>IF(AND(Sum!$F598="Yes",Sum!$G598="Cash",Sum!K$548=J$5),Sum!K598,0)</f>
        <v>0</v>
      </c>
      <c r="K66" s="30">
        <f>IF(AND(Sum!$F598="Yes",Sum!$G598="Cash",Sum!L$548=K$5),Sum!L598,0)</f>
        <v>0</v>
      </c>
      <c r="L66" s="30">
        <f>IF(AND(Sum!$F598="Yes",Sum!$G598="Cash",Sum!M$548=L$5),Sum!M598,0)</f>
        <v>0</v>
      </c>
      <c r="M66" s="30">
        <f>IF(AND(Sum!$F598="Yes",Sum!$G598="Cash",Sum!N$548=M$5),Sum!N598,0)</f>
        <v>0</v>
      </c>
      <c r="N66" s="30">
        <f>IF(AND(Sum!$F598="Yes",Sum!$G598="Cash",Sum!O$548=N$5),Sum!O598,0)</f>
        <v>0</v>
      </c>
      <c r="O66" s="30">
        <f>IF(AND(Sum!$F598="Yes",Sum!$G598="Cash",Sum!P$548=O$5),Sum!P598,0)</f>
        <v>0</v>
      </c>
      <c r="P66" s="30">
        <f>IF(AND(Sum!$F598="Yes",Sum!$G598="Cash",Sum!Q$548=P$5),Sum!Q598,0)</f>
        <v>0</v>
      </c>
      <c r="Q66" s="288" t="str">
        <f>IF(AND(Sum!$F598="Yes",Sum!$G598="Cash"),Sum!$E598,"")</f>
        <v/>
      </c>
    </row>
    <row r="67" spans="1:17" ht="12.75" customHeight="1" x14ac:dyDescent="0.25">
      <c r="A67" s="3"/>
      <c r="B67" s="29" t="s">
        <v>123</v>
      </c>
      <c r="C67" s="3"/>
      <c r="D67" s="3"/>
      <c r="E67" s="13"/>
      <c r="F67" s="13"/>
      <c r="G67" s="153">
        <f>SUM(G17:G66)</f>
        <v>0</v>
      </c>
      <c r="H67" s="13">
        <f>SUM(H17:H66)</f>
        <v>1425000</v>
      </c>
      <c r="I67" s="13">
        <f>SUM(I17:I66)</f>
        <v>375000</v>
      </c>
      <c r="J67" s="13">
        <f t="shared" ref="J67:P67" si="5">SUM(J17:J66)</f>
        <v>675000</v>
      </c>
      <c r="K67" s="13">
        <f t="shared" si="5"/>
        <v>25000</v>
      </c>
      <c r="L67" s="13">
        <f t="shared" si="5"/>
        <v>25000</v>
      </c>
      <c r="M67" s="13">
        <f t="shared" si="5"/>
        <v>25000</v>
      </c>
      <c r="N67" s="13">
        <f t="shared" si="5"/>
        <v>25000</v>
      </c>
      <c r="O67" s="13">
        <f t="shared" si="5"/>
        <v>25000</v>
      </c>
      <c r="P67" s="13">
        <f t="shared" si="5"/>
        <v>25000</v>
      </c>
      <c r="Q67" s="82"/>
    </row>
    <row r="68" spans="1:17" ht="12.75" customHeight="1" thickBot="1" x14ac:dyDescent="0.3">
      <c r="A68" s="303"/>
      <c r="B68" s="303"/>
      <c r="C68" s="32"/>
      <c r="D68" s="32"/>
      <c r="E68" s="33"/>
      <c r="F68" s="33"/>
      <c r="G68" s="174"/>
      <c r="H68" s="33"/>
      <c r="I68" s="33"/>
      <c r="J68" s="33"/>
      <c r="K68" s="33"/>
      <c r="L68" s="33"/>
      <c r="M68" s="33"/>
      <c r="N68" s="33"/>
      <c r="O68" s="33"/>
      <c r="P68" s="33"/>
      <c r="Q68" s="82"/>
    </row>
    <row r="69" spans="1:17" ht="12.75" customHeight="1" thickTop="1" x14ac:dyDescent="0.25">
      <c r="A69" s="383" t="s">
        <v>164</v>
      </c>
      <c r="B69" s="18"/>
      <c r="C69" s="3"/>
      <c r="D69" s="3"/>
      <c r="E69" s="13"/>
      <c r="F69" s="13"/>
      <c r="G69" s="153">
        <f>G14-G67</f>
        <v>0</v>
      </c>
      <c r="H69" s="13">
        <f>H14-H67</f>
        <v>0</v>
      </c>
      <c r="I69" s="13">
        <f>I14-I67</f>
        <v>0</v>
      </c>
      <c r="J69" s="13">
        <f t="shared" ref="J69:P69" si="6">J14-J67</f>
        <v>0</v>
      </c>
      <c r="K69" s="13">
        <f t="shared" si="6"/>
        <v>0</v>
      </c>
      <c r="L69" s="13">
        <f t="shared" si="6"/>
        <v>0</v>
      </c>
      <c r="M69" s="13">
        <f t="shared" si="6"/>
        <v>0</v>
      </c>
      <c r="N69" s="13">
        <f t="shared" si="6"/>
        <v>0</v>
      </c>
      <c r="O69" s="13">
        <f t="shared" si="6"/>
        <v>0</v>
      </c>
      <c r="P69" s="13">
        <f t="shared" si="6"/>
        <v>0</v>
      </c>
      <c r="Q69" s="82"/>
    </row>
    <row r="70" spans="1:17" ht="12.75" customHeight="1" thickBot="1" x14ac:dyDescent="0.3">
      <c r="A70" s="384"/>
      <c r="B70" s="303"/>
      <c r="C70" s="32"/>
      <c r="D70" s="32"/>
      <c r="E70" s="33"/>
      <c r="F70" s="33"/>
      <c r="G70" s="174"/>
      <c r="H70" s="33"/>
      <c r="I70" s="33"/>
      <c r="J70" s="33"/>
      <c r="K70" s="33"/>
      <c r="L70" s="33"/>
      <c r="M70" s="33"/>
      <c r="N70" s="33"/>
      <c r="O70" s="33"/>
      <c r="P70" s="33"/>
      <c r="Q70" s="82"/>
    </row>
    <row r="71" spans="1:17" ht="12.75" customHeight="1" thickTop="1" x14ac:dyDescent="0.25">
      <c r="A71" s="383" t="s">
        <v>187</v>
      </c>
      <c r="B71" s="18"/>
      <c r="C71" s="3"/>
      <c r="D71" s="3"/>
      <c r="E71" s="13"/>
      <c r="F71" s="13"/>
      <c r="G71" s="153">
        <f>G7+G69</f>
        <v>0</v>
      </c>
      <c r="H71" s="13">
        <f>H7+H69</f>
        <v>0</v>
      </c>
      <c r="I71" s="13">
        <f>I7+I69</f>
        <v>0</v>
      </c>
      <c r="J71" s="13">
        <f t="shared" ref="J71:P71" si="7">J7+J69</f>
        <v>0</v>
      </c>
      <c r="K71" s="13">
        <f t="shared" si="7"/>
        <v>0</v>
      </c>
      <c r="L71" s="13">
        <f t="shared" si="7"/>
        <v>0</v>
      </c>
      <c r="M71" s="13">
        <f t="shared" si="7"/>
        <v>0</v>
      </c>
      <c r="N71" s="13">
        <f t="shared" si="7"/>
        <v>0</v>
      </c>
      <c r="O71" s="13">
        <f t="shared" si="7"/>
        <v>0</v>
      </c>
      <c r="P71" s="13">
        <f t="shared" si="7"/>
        <v>0</v>
      </c>
      <c r="Q71" s="82"/>
    </row>
    <row r="72" spans="1:17" ht="12.75" customHeight="1" thickBot="1" x14ac:dyDescent="0.3">
      <c r="A72" s="301"/>
      <c r="B72" s="301"/>
      <c r="C72" s="7"/>
      <c r="D72" s="7"/>
      <c r="E72" s="15"/>
      <c r="F72" s="15"/>
      <c r="G72" s="155"/>
      <c r="H72" s="15"/>
      <c r="I72" s="15"/>
      <c r="J72" s="15"/>
      <c r="K72" s="15"/>
      <c r="L72" s="15"/>
      <c r="M72" s="15"/>
      <c r="N72" s="15"/>
      <c r="O72" s="15"/>
      <c r="P72" s="15"/>
      <c r="Q72" s="302"/>
    </row>
    <row r="73" spans="1:17" ht="12.75" customHeight="1" x14ac:dyDescent="0.25">
      <c r="A73" s="62" t="s">
        <v>188</v>
      </c>
      <c r="B73" s="3"/>
      <c r="C73" s="3"/>
      <c r="D73" s="60">
        <v>0.33</v>
      </c>
      <c r="E73" s="13" t="s">
        <v>189</v>
      </c>
      <c r="F73" s="13"/>
      <c r="G73" s="431">
        <v>0.02</v>
      </c>
      <c r="H73" s="13" t="s">
        <v>190</v>
      </c>
      <c r="I73" s="13"/>
      <c r="J73" s="13"/>
      <c r="K73" s="13"/>
      <c r="L73" s="13"/>
      <c r="M73" s="13"/>
      <c r="N73" s="13"/>
      <c r="O73" s="13"/>
      <c r="P73" s="13"/>
    </row>
    <row r="74" spans="1:17" ht="12.75" customHeight="1" x14ac:dyDescent="0.25">
      <c r="A74" s="16"/>
      <c r="B74" s="3"/>
      <c r="C74" s="3"/>
      <c r="D74" s="3"/>
      <c r="E74" s="13"/>
      <c r="F74" s="13"/>
      <c r="G74" s="13"/>
      <c r="H74" s="13"/>
      <c r="I74" s="13"/>
      <c r="J74" s="13"/>
      <c r="K74" s="13"/>
      <c r="L74" s="13"/>
      <c r="M74" s="13"/>
      <c r="N74" s="13"/>
      <c r="O74" s="13"/>
      <c r="P74" s="13"/>
    </row>
    <row r="75" spans="1:17" ht="12.75" customHeight="1" x14ac:dyDescent="0.25">
      <c r="A75" s="16"/>
      <c r="B75" s="3"/>
      <c r="C75" s="3"/>
      <c r="D75" s="3"/>
      <c r="E75" s="13"/>
      <c r="F75" s="13"/>
      <c r="G75" s="13"/>
      <c r="H75" s="13"/>
      <c r="I75" s="13"/>
      <c r="J75" s="13"/>
      <c r="K75" s="13"/>
      <c r="L75" s="13"/>
      <c r="M75" s="13"/>
      <c r="N75" s="13"/>
      <c r="O75" s="13"/>
      <c r="P75" s="13"/>
    </row>
    <row r="76" spans="1:17" ht="12.75" customHeight="1" x14ac:dyDescent="0.25">
      <c r="A76" s="16"/>
      <c r="B76" s="3"/>
      <c r="C76" s="3"/>
      <c r="D76" s="3"/>
      <c r="E76" s="13"/>
      <c r="F76" s="13"/>
      <c r="G76" s="13"/>
      <c r="H76" s="13"/>
      <c r="I76" s="13"/>
      <c r="J76" s="13"/>
      <c r="K76" s="13"/>
      <c r="L76" s="13"/>
      <c r="M76" s="13"/>
      <c r="N76" s="13"/>
      <c r="O76" s="13"/>
      <c r="P76" s="13"/>
    </row>
    <row r="77" spans="1:17" ht="12.75" customHeight="1" x14ac:dyDescent="0.25">
      <c r="A77" s="77" t="s">
        <v>244</v>
      </c>
      <c r="B77" s="3"/>
      <c r="C77" s="3"/>
      <c r="D77" s="3"/>
      <c r="E77" s="13"/>
      <c r="F77" s="13"/>
      <c r="G77" s="13"/>
      <c r="H77" s="13"/>
      <c r="I77" s="65"/>
      <c r="J77" s="65"/>
      <c r="K77" s="65"/>
      <c r="L77" s="65"/>
      <c r="M77" s="65"/>
      <c r="N77" s="65"/>
      <c r="O77" s="63"/>
      <c r="P77" s="63"/>
      <c r="Q77" s="64"/>
    </row>
    <row r="78" spans="1:17" ht="12.75" customHeight="1" x14ac:dyDescent="0.25">
      <c r="A78" s="77" t="s">
        <v>151</v>
      </c>
      <c r="B78" s="3"/>
      <c r="C78" s="3"/>
      <c r="D78" s="3"/>
      <c r="E78" s="13"/>
      <c r="F78" s="13"/>
      <c r="G78" s="13"/>
      <c r="H78" s="65"/>
      <c r="I78" s="13"/>
      <c r="J78" s="13"/>
      <c r="K78" s="13"/>
      <c r="L78" s="13"/>
      <c r="M78" s="13"/>
      <c r="N78" s="13"/>
      <c r="O78" s="13"/>
      <c r="P78" s="13"/>
      <c r="Q78" s="3"/>
    </row>
    <row r="79" spans="1:17" ht="12.75" customHeight="1" x14ac:dyDescent="0.25">
      <c r="A79" s="77" t="s">
        <v>42</v>
      </c>
      <c r="B79" s="3"/>
      <c r="C79" s="3"/>
      <c r="D79" s="67"/>
      <c r="E79" s="13"/>
      <c r="F79" s="13"/>
      <c r="G79" s="13"/>
      <c r="H79" s="65"/>
      <c r="I79" s="13"/>
      <c r="J79" s="13"/>
      <c r="K79" s="13"/>
      <c r="L79" s="13"/>
      <c r="M79" s="13"/>
      <c r="N79" s="13"/>
      <c r="O79" s="13"/>
      <c r="P79" s="13"/>
      <c r="Q79" s="3"/>
    </row>
    <row r="80" spans="1:17" ht="12.75" customHeight="1" thickBot="1" x14ac:dyDescent="0.3">
      <c r="A80" s="78" t="s">
        <v>428</v>
      </c>
      <c r="B80" s="7"/>
      <c r="C80" s="7"/>
      <c r="D80" s="7"/>
      <c r="E80" s="15"/>
      <c r="F80" s="15"/>
      <c r="G80" s="15"/>
      <c r="H80" s="200"/>
      <c r="I80" s="27"/>
      <c r="J80" s="27"/>
      <c r="K80" s="27"/>
      <c r="L80" s="27"/>
      <c r="M80" s="27"/>
      <c r="N80" s="27"/>
      <c r="O80" s="27"/>
      <c r="P80" s="27"/>
      <c r="Q80" s="7"/>
    </row>
    <row r="81" spans="1:17" ht="12.75" customHeight="1" x14ac:dyDescent="0.25">
      <c r="A81" s="646" t="s">
        <v>215</v>
      </c>
      <c r="B81" s="646"/>
      <c r="C81" s="646"/>
      <c r="D81" s="242"/>
      <c r="E81" s="281">
        <f>Sum!E$5</f>
        <v>2023</v>
      </c>
      <c r="F81" s="281">
        <f>Sum!F$5</f>
        <v>2024</v>
      </c>
      <c r="G81" s="282">
        <f>Sum!G$5</f>
        <v>2025</v>
      </c>
      <c r="H81" s="281">
        <f>Sum!H$5</f>
        <v>2026</v>
      </c>
      <c r="I81" s="281">
        <f>Sum!I$5</f>
        <v>2027</v>
      </c>
      <c r="J81" s="281">
        <f>Sum!J$5</f>
        <v>2028</v>
      </c>
      <c r="K81" s="281">
        <f>Sum!K$5</f>
        <v>2029</v>
      </c>
      <c r="L81" s="281">
        <f>Sum!L$5</f>
        <v>2030</v>
      </c>
      <c r="M81" s="281">
        <f>Sum!M$5</f>
        <v>2031</v>
      </c>
      <c r="N81" s="281">
        <f>Sum!N$5</f>
        <v>2032</v>
      </c>
      <c r="O81" s="281">
        <f>Sum!O$5</f>
        <v>2033</v>
      </c>
      <c r="P81" s="281">
        <f>Sum!P$5</f>
        <v>2034</v>
      </c>
      <c r="Q81" s="265" t="s">
        <v>224</v>
      </c>
    </row>
    <row r="82" spans="1:17" ht="12.75" customHeight="1" x14ac:dyDescent="0.25">
      <c r="A82" s="16"/>
      <c r="B82" s="3"/>
      <c r="C82" s="3"/>
      <c r="D82" s="3"/>
      <c r="E82" s="13"/>
      <c r="F82" s="13"/>
      <c r="G82" s="153"/>
      <c r="H82" s="13"/>
      <c r="I82" s="13"/>
      <c r="J82" s="13"/>
      <c r="K82" s="13"/>
      <c r="L82" s="13"/>
      <c r="M82" s="13"/>
      <c r="N82" s="13"/>
      <c r="O82" s="13"/>
      <c r="P82" s="13"/>
      <c r="Q82" s="3"/>
    </row>
    <row r="83" spans="1:17" ht="12.75" customHeight="1" x14ac:dyDescent="0.25">
      <c r="A83" s="77" t="s">
        <v>185</v>
      </c>
      <c r="B83" s="3"/>
      <c r="C83" s="3"/>
      <c r="D83" s="3"/>
      <c r="E83" s="20"/>
      <c r="F83" s="13"/>
      <c r="G83" s="410">
        <v>0</v>
      </c>
      <c r="H83" s="13">
        <f>G147</f>
        <v>40000</v>
      </c>
      <c r="I83" s="13">
        <f>H147</f>
        <v>60600</v>
      </c>
      <c r="J83" s="13">
        <f t="shared" ref="J83:P83" si="8">I147</f>
        <v>81509</v>
      </c>
      <c r="K83" s="13">
        <f t="shared" si="8"/>
        <v>102731.63500000001</v>
      </c>
      <c r="L83" s="13">
        <f t="shared" si="8"/>
        <v>124272.60952500001</v>
      </c>
      <c r="M83" s="13">
        <f t="shared" si="8"/>
        <v>146136.69866787503</v>
      </c>
      <c r="N83" s="13">
        <f t="shared" si="8"/>
        <v>168328.74914789316</v>
      </c>
      <c r="O83" s="13">
        <f t="shared" si="8"/>
        <v>190853.68038511157</v>
      </c>
      <c r="P83" s="13">
        <f t="shared" si="8"/>
        <v>213716.48559088825</v>
      </c>
      <c r="Q83" s="3"/>
    </row>
    <row r="84" spans="1:17" ht="12.75" customHeight="1" x14ac:dyDescent="0.25">
      <c r="A84" s="77"/>
      <c r="B84" s="3"/>
      <c r="C84" s="3"/>
      <c r="D84" s="3"/>
      <c r="E84" s="20"/>
      <c r="F84" s="13"/>
      <c r="G84" s="153"/>
      <c r="H84" s="13"/>
      <c r="I84" s="13"/>
      <c r="J84" s="13"/>
      <c r="K84" s="13"/>
      <c r="L84" s="13"/>
      <c r="M84" s="13"/>
      <c r="N84" s="13"/>
      <c r="O84" s="13"/>
      <c r="P84" s="13"/>
      <c r="Q84" s="3"/>
    </row>
    <row r="85" spans="1:17" ht="12.75" customHeight="1" x14ac:dyDescent="0.25">
      <c r="A85" s="77" t="s">
        <v>227</v>
      </c>
      <c r="B85" s="3"/>
      <c r="C85" s="3"/>
      <c r="D85" s="3"/>
      <c r="E85" s="20"/>
      <c r="F85" s="13"/>
      <c r="G85" s="153"/>
      <c r="H85" s="13"/>
      <c r="I85" s="13"/>
      <c r="J85" s="13"/>
      <c r="K85" s="13"/>
      <c r="L85" s="13"/>
      <c r="M85" s="13"/>
      <c r="N85" s="13"/>
      <c r="O85" s="13"/>
      <c r="P85" s="13"/>
      <c r="Q85" s="3"/>
    </row>
    <row r="86" spans="1:17" ht="12.75" customHeight="1" x14ac:dyDescent="0.25">
      <c r="A86" s="62"/>
      <c r="B86" s="3" t="s">
        <v>269</v>
      </c>
      <c r="C86" s="3"/>
      <c r="D86" s="3"/>
      <c r="E86" s="20"/>
      <c r="F86" s="20"/>
      <c r="G86" s="172">
        <v>40000</v>
      </c>
      <c r="H86" s="13">
        <f>G86*(1+'WW-Dem'!H78)</f>
        <v>40000</v>
      </c>
      <c r="I86" s="13">
        <f>H86*(1+'WW-Dem'!I78)</f>
        <v>40000</v>
      </c>
      <c r="J86" s="13">
        <f>I86*(1+'WW-Dem'!J78)</f>
        <v>40000</v>
      </c>
      <c r="K86" s="13">
        <f>J86*(1+'WW-Dem'!K78)</f>
        <v>40000</v>
      </c>
      <c r="L86" s="13">
        <f>K86*(1+'WW-Dem'!L78)</f>
        <v>40000</v>
      </c>
      <c r="M86" s="13">
        <f>L86*(1+'WW-Dem'!M78)</f>
        <v>40000</v>
      </c>
      <c r="N86" s="13">
        <f>M86*(1+'WW-Dem'!N78)</f>
        <v>40000</v>
      </c>
      <c r="O86" s="13">
        <f>N86*(1+'WW-Dem'!O78)</f>
        <v>40000</v>
      </c>
      <c r="P86" s="13">
        <f>O86*(1+'WW-Dem'!P78)</f>
        <v>40000</v>
      </c>
      <c r="Q86" s="3"/>
    </row>
    <row r="87" spans="1:17" ht="12.75" customHeight="1" x14ac:dyDescent="0.25">
      <c r="A87" s="62"/>
      <c r="B87" s="3" t="s">
        <v>264</v>
      </c>
      <c r="C87" s="3"/>
      <c r="D87" s="3"/>
      <c r="E87" s="20"/>
      <c r="F87" s="20"/>
      <c r="G87" s="172">
        <f>G83*$D$149*$G$149</f>
        <v>0</v>
      </c>
      <c r="H87" s="13">
        <f>H83*$D$149*$G$149</f>
        <v>600</v>
      </c>
      <c r="I87" s="13">
        <f>I83*$D$149*$G$149</f>
        <v>909</v>
      </c>
      <c r="J87" s="13">
        <f t="shared" ref="J87:P87" si="9">J83*$D$149*$G$149</f>
        <v>1222.635</v>
      </c>
      <c r="K87" s="13">
        <f t="shared" si="9"/>
        <v>1540.9745250000001</v>
      </c>
      <c r="L87" s="13">
        <f t="shared" si="9"/>
        <v>1864.0891428750003</v>
      </c>
      <c r="M87" s="13">
        <f t="shared" si="9"/>
        <v>2192.0504800181257</v>
      </c>
      <c r="N87" s="13">
        <f t="shared" si="9"/>
        <v>2524.9312372183977</v>
      </c>
      <c r="O87" s="13">
        <f t="shared" si="9"/>
        <v>2862.8052057766736</v>
      </c>
      <c r="P87" s="13">
        <f t="shared" si="9"/>
        <v>3205.7472838633239</v>
      </c>
      <c r="Q87" s="3"/>
    </row>
    <row r="88" spans="1:17" ht="12.75" customHeight="1" x14ac:dyDescent="0.25">
      <c r="A88" s="62"/>
      <c r="B88" s="3"/>
      <c r="C88" s="3"/>
      <c r="D88" s="3"/>
      <c r="E88" s="20"/>
      <c r="F88" s="20"/>
      <c r="G88" s="172"/>
      <c r="H88" s="13"/>
      <c r="I88" s="13"/>
      <c r="J88" s="13"/>
      <c r="K88" s="13"/>
      <c r="L88" s="13"/>
      <c r="M88" s="13"/>
      <c r="N88" s="13"/>
      <c r="O88" s="13"/>
      <c r="P88" s="13"/>
      <c r="Q88" s="3"/>
    </row>
    <row r="89" spans="1:17" ht="12.75" customHeight="1" x14ac:dyDescent="0.25">
      <c r="A89" s="62"/>
      <c r="B89" s="22"/>
      <c r="C89" s="22"/>
      <c r="D89" s="22"/>
      <c r="E89" s="76"/>
      <c r="F89" s="76"/>
      <c r="G89" s="173"/>
      <c r="H89" s="30"/>
      <c r="I89" s="30"/>
      <c r="J89" s="30"/>
      <c r="K89" s="30"/>
      <c r="L89" s="30"/>
      <c r="M89" s="30"/>
      <c r="N89" s="30"/>
      <c r="O89" s="30"/>
      <c r="P89" s="30"/>
      <c r="Q89" s="3"/>
    </row>
    <row r="90" spans="1:17" ht="12.75" customHeight="1" x14ac:dyDescent="0.25">
      <c r="A90" s="77"/>
      <c r="B90" s="29" t="s">
        <v>238</v>
      </c>
      <c r="C90" s="29"/>
      <c r="D90" s="29"/>
      <c r="E90" s="346">
        <f t="shared" ref="E90:I90" si="10">SUM(E86:E89)</f>
        <v>0</v>
      </c>
      <c r="F90" s="346">
        <f t="shared" si="10"/>
        <v>0</v>
      </c>
      <c r="G90" s="176">
        <f t="shared" si="10"/>
        <v>40000</v>
      </c>
      <c r="H90" s="149">
        <f t="shared" si="10"/>
        <v>40600</v>
      </c>
      <c r="I90" s="149">
        <f t="shared" si="10"/>
        <v>40909</v>
      </c>
      <c r="J90" s="149">
        <f t="shared" ref="J90:P90" si="11">SUM(J86:J89)</f>
        <v>41222.635000000002</v>
      </c>
      <c r="K90" s="149">
        <f t="shared" si="11"/>
        <v>41540.974524999998</v>
      </c>
      <c r="L90" s="149">
        <f t="shared" si="11"/>
        <v>41864.089142875004</v>
      </c>
      <c r="M90" s="149">
        <f t="shared" si="11"/>
        <v>42192.050480018122</v>
      </c>
      <c r="N90" s="149">
        <f t="shared" si="11"/>
        <v>42524.931237218399</v>
      </c>
      <c r="O90" s="149">
        <f t="shared" si="11"/>
        <v>42862.805205776676</v>
      </c>
      <c r="P90" s="149">
        <f t="shared" si="11"/>
        <v>43205.747283863326</v>
      </c>
      <c r="Q90" s="3"/>
    </row>
    <row r="91" spans="1:17" ht="12.75" customHeight="1" x14ac:dyDescent="0.25">
      <c r="A91" s="16"/>
      <c r="B91" s="3"/>
      <c r="C91" s="3"/>
      <c r="D91" s="3"/>
      <c r="E91" s="13"/>
      <c r="F91" s="13"/>
      <c r="G91" s="153"/>
      <c r="H91" s="13"/>
      <c r="I91" s="13"/>
      <c r="J91" s="13"/>
      <c r="K91" s="13"/>
      <c r="L91" s="13"/>
      <c r="M91" s="13"/>
      <c r="N91" s="13"/>
      <c r="O91" s="13"/>
      <c r="P91" s="13"/>
      <c r="Q91" s="3"/>
    </row>
    <row r="92" spans="1:17" ht="12.75" customHeight="1" x14ac:dyDescent="0.25">
      <c r="A92" s="77" t="s">
        <v>228</v>
      </c>
      <c r="B92" s="3"/>
      <c r="C92" s="3"/>
      <c r="D92" s="3"/>
      <c r="E92" s="13"/>
      <c r="F92" s="13"/>
      <c r="G92" s="153"/>
      <c r="H92" s="13"/>
      <c r="I92" s="13"/>
      <c r="J92" s="13"/>
      <c r="K92" s="13"/>
      <c r="L92" s="13"/>
      <c r="M92" s="13"/>
      <c r="N92" s="13"/>
      <c r="O92" s="13"/>
      <c r="P92" s="13"/>
      <c r="Q92" s="3"/>
    </row>
    <row r="93" spans="1:17" ht="12.75" customHeight="1" x14ac:dyDescent="0.25">
      <c r="A93" s="306"/>
      <c r="B93" s="306" t="str">
        <f>IF(AND(Sum!$F549="Yes",Sum!$G549="Fees"),Sum!$B549,"")</f>
        <v/>
      </c>
      <c r="C93" s="13"/>
      <c r="D93" s="13"/>
      <c r="E93" s="13"/>
      <c r="F93" s="13"/>
      <c r="G93" s="153">
        <f>IF(AND(Sum!$F549="Yes",Sum!$G549="Fees",Sum!H$548=G$5),Sum!H549,0)</f>
        <v>0</v>
      </c>
      <c r="H93" s="13">
        <f>IF(AND(Sum!$F549="Yes",Sum!$G549="Fees",Sum!I$548=H$5),Sum!I549,0)</f>
        <v>0</v>
      </c>
      <c r="I93" s="13">
        <f>IF(AND(Sum!$F549="Yes",Sum!$G549="Fees",Sum!J$548=I$5),Sum!J549,0)</f>
        <v>0</v>
      </c>
      <c r="J93" s="13">
        <f>IF(AND(Sum!$F549="Yes",Sum!$G549="Fees",Sum!K$548=J$5),Sum!K549,0)</f>
        <v>0</v>
      </c>
      <c r="K93" s="13">
        <f>IF(AND(Sum!$F549="Yes",Sum!$G549="Fees",Sum!L$548=K$5),Sum!L549,0)</f>
        <v>0</v>
      </c>
      <c r="L93" s="13">
        <f>IF(AND(Sum!$F549="Yes",Sum!$G549="Fees",Sum!M$548=L$5),Sum!M549,0)</f>
        <v>0</v>
      </c>
      <c r="M93" s="13">
        <f>IF(AND(Sum!$F549="Yes",Sum!$G549="Fees",Sum!N$548=M$5),Sum!N549,0)</f>
        <v>0</v>
      </c>
      <c r="N93" s="13">
        <f>IF(AND(Sum!$F549="Yes",Sum!$G549="Fees",Sum!O$548=N$5),Sum!O549,0)</f>
        <v>0</v>
      </c>
      <c r="O93" s="13">
        <f>IF(AND(Sum!$F549="Yes",Sum!$G549="Fees",Sum!P$548=O$5),Sum!P549,0)</f>
        <v>0</v>
      </c>
      <c r="P93" s="13">
        <f>IF(AND(Sum!$F549="Yes",Sum!$G549="Fees",Sum!Q$548=P$5),Sum!Q549,0)</f>
        <v>0</v>
      </c>
      <c r="Q93" s="264" t="str">
        <f>IF(AND(Sum!$F549="Yes",Sum!$G549="Fees"),Sum!$E549,"")</f>
        <v/>
      </c>
    </row>
    <row r="94" spans="1:17" ht="12.75" customHeight="1" x14ac:dyDescent="0.25">
      <c r="A94" s="18"/>
      <c r="B94" s="306" t="str">
        <f>IF(AND(Sum!$F550="Yes",Sum!$G550="Fees"),Sum!$B550,"")</f>
        <v/>
      </c>
      <c r="C94" s="3"/>
      <c r="D94" s="3"/>
      <c r="E94" s="13"/>
      <c r="F94" s="13"/>
      <c r="G94" s="153">
        <f>IF(AND(Sum!$F550="Yes",Sum!$G550="Fees",Sum!H$548=G$5),Sum!H550,0)</f>
        <v>0</v>
      </c>
      <c r="H94" s="13">
        <f>IF(AND(Sum!$F550="Yes",Sum!$G550="Fees",Sum!I$548=H$5),Sum!I550,0)</f>
        <v>0</v>
      </c>
      <c r="I94" s="13">
        <f>IF(AND(Sum!$F550="Yes",Sum!$G550="Fees",Sum!J$548=I$5),Sum!J550,0)</f>
        <v>0</v>
      </c>
      <c r="J94" s="13">
        <f>IF(AND(Sum!$F550="Yes",Sum!$G550="Fees",Sum!K$548=J$5),Sum!K550,0)</f>
        <v>0</v>
      </c>
      <c r="K94" s="13">
        <f>IF(AND(Sum!$F550="Yes",Sum!$G550="Fees",Sum!L$548=K$5),Sum!L550,0)</f>
        <v>0</v>
      </c>
      <c r="L94" s="13">
        <f>IF(AND(Sum!$F550="Yes",Sum!$G550="Fees",Sum!M$548=L$5),Sum!M550,0)</f>
        <v>0</v>
      </c>
      <c r="M94" s="13">
        <f>IF(AND(Sum!$F550="Yes",Sum!$G550="Fees",Sum!N$548=M$5),Sum!N550,0)</f>
        <v>0</v>
      </c>
      <c r="N94" s="13">
        <f>IF(AND(Sum!$F550="Yes",Sum!$G550="Fees",Sum!O$548=N$5),Sum!O550,0)</f>
        <v>0</v>
      </c>
      <c r="O94" s="13">
        <f>IF(AND(Sum!$F550="Yes",Sum!$G550="Fees",Sum!P$548=O$5),Sum!P550,0)</f>
        <v>0</v>
      </c>
      <c r="P94" s="13">
        <f>IF(AND(Sum!$F550="Yes",Sum!$G550="Fees",Sum!Q$548=P$5),Sum!Q550,0)</f>
        <v>0</v>
      </c>
      <c r="Q94" s="264" t="str">
        <f>IF(AND(Sum!$F550="Yes",Sum!$G550="Fees"),Sum!$E550,"")</f>
        <v/>
      </c>
    </row>
    <row r="95" spans="1:17" ht="12.75" customHeight="1" x14ac:dyDescent="0.25">
      <c r="A95" s="18"/>
      <c r="B95" s="306" t="str">
        <f>IF(AND(Sum!$F551="Yes",Sum!$G551="Fees"),Sum!$B551,"")</f>
        <v/>
      </c>
      <c r="C95" s="3"/>
      <c r="D95" s="3"/>
      <c r="E95" s="13"/>
      <c r="F95" s="13"/>
      <c r="G95" s="153">
        <f>IF(AND(Sum!$F551="Yes",Sum!$G551="Fees",Sum!H$548=G$5),Sum!H551,0)</f>
        <v>0</v>
      </c>
      <c r="H95" s="13">
        <f>IF(AND(Sum!$F551="Yes",Sum!$G551="Fees",Sum!I$548=H$5),Sum!I551,0)</f>
        <v>0</v>
      </c>
      <c r="I95" s="13">
        <f>IF(AND(Sum!$F551="Yes",Sum!$G551="Fees",Sum!J$548=I$5),Sum!J551,0)</f>
        <v>0</v>
      </c>
      <c r="J95" s="13">
        <f>IF(AND(Sum!$F551="Yes",Sum!$G551="Fees",Sum!K$548=J$5),Sum!K551,0)</f>
        <v>0</v>
      </c>
      <c r="K95" s="13">
        <f>IF(AND(Sum!$F551="Yes",Sum!$G551="Fees",Sum!L$548=K$5),Sum!L551,0)</f>
        <v>0</v>
      </c>
      <c r="L95" s="13">
        <f>IF(AND(Sum!$F551="Yes",Sum!$G551="Fees",Sum!M$548=L$5),Sum!M551,0)</f>
        <v>0</v>
      </c>
      <c r="M95" s="13">
        <f>IF(AND(Sum!$F551="Yes",Sum!$G551="Fees",Sum!N$548=M$5),Sum!N551,0)</f>
        <v>0</v>
      </c>
      <c r="N95" s="13">
        <f>IF(AND(Sum!$F551="Yes",Sum!$G551="Fees",Sum!O$548=N$5),Sum!O551,0)</f>
        <v>0</v>
      </c>
      <c r="O95" s="13">
        <f>IF(AND(Sum!$F551="Yes",Sum!$G551="Fees",Sum!P$548=O$5),Sum!P551,0)</f>
        <v>0</v>
      </c>
      <c r="P95" s="13">
        <f>IF(AND(Sum!$F551="Yes",Sum!$G551="Fees",Sum!Q$548=P$5),Sum!Q551,0)</f>
        <v>0</v>
      </c>
      <c r="Q95" s="264" t="str">
        <f>IF(AND(Sum!$F551="Yes",Sum!$G551="Fees"),Sum!$E551,"")</f>
        <v/>
      </c>
    </row>
    <row r="96" spans="1:17" ht="12.75" customHeight="1" x14ac:dyDescent="0.25">
      <c r="A96" s="18"/>
      <c r="B96" s="306" t="str">
        <f>IF(AND(Sum!$F552="Yes",Sum!$G552="Fees"),Sum!$B552,"")</f>
        <v/>
      </c>
      <c r="C96" s="3"/>
      <c r="D96" s="3"/>
      <c r="E96" s="13"/>
      <c r="F96" s="13"/>
      <c r="G96" s="153">
        <f>IF(AND(Sum!$F552="Yes",Sum!$G552="Fees",Sum!H$548=G$5),Sum!H552,0)</f>
        <v>0</v>
      </c>
      <c r="H96" s="13">
        <f>IF(AND(Sum!$F552="Yes",Sum!$G552="Fees",Sum!I$548=H$5),Sum!I552,0)</f>
        <v>0</v>
      </c>
      <c r="I96" s="13">
        <f>IF(AND(Sum!$F552="Yes",Sum!$G552="Fees",Sum!J$548=I$5),Sum!J552,0)</f>
        <v>0</v>
      </c>
      <c r="J96" s="13">
        <f>IF(AND(Sum!$F552="Yes",Sum!$G552="Fees",Sum!K$548=J$5),Sum!K552,0)</f>
        <v>0</v>
      </c>
      <c r="K96" s="13">
        <f>IF(AND(Sum!$F552="Yes",Sum!$G552="Fees",Sum!L$548=K$5),Sum!L552,0)</f>
        <v>0</v>
      </c>
      <c r="L96" s="13">
        <f>IF(AND(Sum!$F552="Yes",Sum!$G552="Fees",Sum!M$548=L$5),Sum!M552,0)</f>
        <v>0</v>
      </c>
      <c r="M96" s="13">
        <f>IF(AND(Sum!$F552="Yes",Sum!$G552="Fees",Sum!N$548=M$5),Sum!N552,0)</f>
        <v>0</v>
      </c>
      <c r="N96" s="13">
        <f>IF(AND(Sum!$F552="Yes",Sum!$G552="Fees",Sum!O$548=N$5),Sum!O552,0)</f>
        <v>0</v>
      </c>
      <c r="O96" s="13">
        <f>IF(AND(Sum!$F552="Yes",Sum!$G552="Fees",Sum!P$548=O$5),Sum!P552,0)</f>
        <v>0</v>
      </c>
      <c r="P96" s="13">
        <f>IF(AND(Sum!$F552="Yes",Sum!$G552="Fees",Sum!Q$548=P$5),Sum!Q552,0)</f>
        <v>0</v>
      </c>
      <c r="Q96" s="264" t="str">
        <f>IF(AND(Sum!$F552="Yes",Sum!$G552="Fees"),Sum!$E552,"")</f>
        <v/>
      </c>
    </row>
    <row r="97" spans="1:17" ht="12.75" customHeight="1" x14ac:dyDescent="0.25">
      <c r="A97" s="18"/>
      <c r="B97" s="306" t="str">
        <f>IF(AND(Sum!$F553="Yes",Sum!$G553="Fees"),Sum!$B553,"")</f>
        <v/>
      </c>
      <c r="C97" s="3"/>
      <c r="D97" s="3"/>
      <c r="E97" s="13"/>
      <c r="F97" s="13"/>
      <c r="G97" s="153">
        <f>IF(AND(Sum!$F553="Yes",Sum!$G553="Fees",Sum!H$548=G$5),Sum!H553,0)</f>
        <v>0</v>
      </c>
      <c r="H97" s="13">
        <f>IF(AND(Sum!$F553="Yes",Sum!$G553="Fees",Sum!I$548=H$5),Sum!I553,0)</f>
        <v>0</v>
      </c>
      <c r="I97" s="13">
        <f>IF(AND(Sum!$F553="Yes",Sum!$G553="Fees",Sum!J$548=I$5),Sum!J553,0)</f>
        <v>0</v>
      </c>
      <c r="J97" s="13">
        <f>IF(AND(Sum!$F553="Yes",Sum!$G553="Fees",Sum!K$548=J$5),Sum!K553,0)</f>
        <v>0</v>
      </c>
      <c r="K97" s="13">
        <f>IF(AND(Sum!$F553="Yes",Sum!$G553="Fees",Sum!L$548=K$5),Sum!L553,0)</f>
        <v>0</v>
      </c>
      <c r="L97" s="13">
        <f>IF(AND(Sum!$F553="Yes",Sum!$G553="Fees",Sum!M$548=L$5),Sum!M553,0)</f>
        <v>0</v>
      </c>
      <c r="M97" s="13">
        <f>IF(AND(Sum!$F553="Yes",Sum!$G553="Fees",Sum!N$548=M$5),Sum!N553,0)</f>
        <v>0</v>
      </c>
      <c r="N97" s="13">
        <f>IF(AND(Sum!$F553="Yes",Sum!$G553="Fees",Sum!O$548=N$5),Sum!O553,0)</f>
        <v>0</v>
      </c>
      <c r="O97" s="13">
        <f>IF(AND(Sum!$F553="Yes",Sum!$G553="Fees",Sum!P$548=O$5),Sum!P553,0)</f>
        <v>0</v>
      </c>
      <c r="P97" s="13">
        <f>IF(AND(Sum!$F553="Yes",Sum!$G553="Fees",Sum!Q$548=P$5),Sum!Q553,0)</f>
        <v>0</v>
      </c>
      <c r="Q97" s="264" t="str">
        <f>IF(AND(Sum!$F553="Yes",Sum!$G553="Fees"),Sum!$E553,"")</f>
        <v/>
      </c>
    </row>
    <row r="98" spans="1:17" ht="12.75" customHeight="1" x14ac:dyDescent="0.25">
      <c r="A98" s="18"/>
      <c r="B98" s="306" t="str">
        <f>IF(AND(Sum!$F554="Yes",Sum!$G554="Fees"),Sum!$B554,"")</f>
        <v/>
      </c>
      <c r="C98" s="3"/>
      <c r="D98" s="3"/>
      <c r="E98" s="13"/>
      <c r="F98" s="13"/>
      <c r="G98" s="153">
        <f>IF(AND(Sum!$F554="Yes",Sum!$G554="Fees",Sum!H$548=G$5),Sum!H554,0)</f>
        <v>0</v>
      </c>
      <c r="H98" s="13">
        <f>IF(AND(Sum!$F554="Yes",Sum!$G554="Fees",Sum!I$548=H$5),Sum!I554,0)</f>
        <v>0</v>
      </c>
      <c r="I98" s="13">
        <f>IF(AND(Sum!$F554="Yes",Sum!$G554="Fees",Sum!J$548=I$5),Sum!J554,0)</f>
        <v>0</v>
      </c>
      <c r="J98" s="13">
        <f>IF(AND(Sum!$F554="Yes",Sum!$G554="Fees",Sum!K$548=J$5),Sum!K554,0)</f>
        <v>0</v>
      </c>
      <c r="K98" s="13">
        <f>IF(AND(Sum!$F554="Yes",Sum!$G554="Fees",Sum!L$548=K$5),Sum!L554,0)</f>
        <v>0</v>
      </c>
      <c r="L98" s="13">
        <f>IF(AND(Sum!$F554="Yes",Sum!$G554="Fees",Sum!M$548=L$5),Sum!M554,0)</f>
        <v>0</v>
      </c>
      <c r="M98" s="13">
        <f>IF(AND(Sum!$F554="Yes",Sum!$G554="Fees",Sum!N$548=M$5),Sum!N554,0)</f>
        <v>0</v>
      </c>
      <c r="N98" s="13">
        <f>IF(AND(Sum!$F554="Yes",Sum!$G554="Fees",Sum!O$548=N$5),Sum!O554,0)</f>
        <v>0</v>
      </c>
      <c r="O98" s="13">
        <f>IF(AND(Sum!$F554="Yes",Sum!$G554="Fees",Sum!P$548=O$5),Sum!P554,0)</f>
        <v>0</v>
      </c>
      <c r="P98" s="13">
        <f>IF(AND(Sum!$F554="Yes",Sum!$G554="Fees",Sum!Q$548=P$5),Sum!Q554,0)</f>
        <v>0</v>
      </c>
      <c r="Q98" s="264" t="str">
        <f>IF(AND(Sum!$F554="Yes",Sum!$G554="Fees"),Sum!$E554,"")</f>
        <v/>
      </c>
    </row>
    <row r="99" spans="1:17" ht="12.75" customHeight="1" x14ac:dyDescent="0.25">
      <c r="A99" s="18"/>
      <c r="B99" s="306" t="str">
        <f>IF(AND(Sum!$F555="Yes",Sum!$G555="Fees"),Sum!$B555,"")</f>
        <v/>
      </c>
      <c r="C99" s="3"/>
      <c r="D99" s="3"/>
      <c r="E99" s="13"/>
      <c r="F99" s="13"/>
      <c r="G99" s="153">
        <f>IF(AND(Sum!$F555="Yes",Sum!$G555="Fees",Sum!H$548=G$5),Sum!H555,0)</f>
        <v>0</v>
      </c>
      <c r="H99" s="13">
        <f>IF(AND(Sum!$F555="Yes",Sum!$G555="Fees",Sum!I$548=H$5),Sum!I555,0)</f>
        <v>0</v>
      </c>
      <c r="I99" s="13">
        <f>IF(AND(Sum!$F555="Yes",Sum!$G555="Fees",Sum!J$548=I$5),Sum!J555,0)</f>
        <v>0</v>
      </c>
      <c r="J99" s="13">
        <f>IF(AND(Sum!$F555="Yes",Sum!$G555="Fees",Sum!K$548=J$5),Sum!K555,0)</f>
        <v>0</v>
      </c>
      <c r="K99" s="13">
        <f>IF(AND(Sum!$F555="Yes",Sum!$G555="Fees",Sum!L$548=K$5),Sum!L555,0)</f>
        <v>0</v>
      </c>
      <c r="L99" s="13">
        <f>IF(AND(Sum!$F555="Yes",Sum!$G555="Fees",Sum!M$548=L$5),Sum!M555,0)</f>
        <v>0</v>
      </c>
      <c r="M99" s="13">
        <f>IF(AND(Sum!$F555="Yes",Sum!$G555="Fees",Sum!N$548=M$5),Sum!N555,0)</f>
        <v>0</v>
      </c>
      <c r="N99" s="13">
        <f>IF(AND(Sum!$F555="Yes",Sum!$G555="Fees",Sum!O$548=N$5),Sum!O555,0)</f>
        <v>0</v>
      </c>
      <c r="O99" s="13">
        <f>IF(AND(Sum!$F555="Yes",Sum!$G555="Fees",Sum!P$548=O$5),Sum!P555,0)</f>
        <v>0</v>
      </c>
      <c r="P99" s="13">
        <f>IF(AND(Sum!$F555="Yes",Sum!$G555="Fees",Sum!Q$548=P$5),Sum!Q555,0)</f>
        <v>0</v>
      </c>
      <c r="Q99" s="264" t="str">
        <f>IF(AND(Sum!$F555="Yes",Sum!$G555="Fees"),Sum!$E555,"")</f>
        <v/>
      </c>
    </row>
    <row r="100" spans="1:17" ht="12.75" customHeight="1" x14ac:dyDescent="0.25">
      <c r="A100" s="18"/>
      <c r="B100" s="306" t="str">
        <f>IF(AND(Sum!$F556="Yes",Sum!$G556="Fees"),Sum!$B556,"")</f>
        <v/>
      </c>
      <c r="C100" s="3"/>
      <c r="D100" s="3"/>
      <c r="E100" s="13"/>
      <c r="F100" s="13"/>
      <c r="G100" s="153">
        <f>IF(AND(Sum!$F556="Yes",Sum!$G556="Fees",Sum!H$548=G$5),Sum!H556,0)</f>
        <v>0</v>
      </c>
      <c r="H100" s="13">
        <f>IF(AND(Sum!$F556="Yes",Sum!$G556="Fees",Sum!I$548=H$5),Sum!I556,0)</f>
        <v>0</v>
      </c>
      <c r="I100" s="13">
        <f>IF(AND(Sum!$F556="Yes",Sum!$G556="Fees",Sum!J$548=I$5),Sum!J556,0)</f>
        <v>0</v>
      </c>
      <c r="J100" s="13">
        <f>IF(AND(Sum!$F556="Yes",Sum!$G556="Fees",Sum!K$548=J$5),Sum!K556,0)</f>
        <v>0</v>
      </c>
      <c r="K100" s="13">
        <f>IF(AND(Sum!$F556="Yes",Sum!$G556="Fees",Sum!L$548=K$5),Sum!L556,0)</f>
        <v>0</v>
      </c>
      <c r="L100" s="13">
        <f>IF(AND(Sum!$F556="Yes",Sum!$G556="Fees",Sum!M$548=L$5),Sum!M556,0)</f>
        <v>0</v>
      </c>
      <c r="M100" s="13">
        <f>IF(AND(Sum!$F556="Yes",Sum!$G556="Fees",Sum!N$548=M$5),Sum!N556,0)</f>
        <v>0</v>
      </c>
      <c r="N100" s="13">
        <f>IF(AND(Sum!$F556="Yes",Sum!$G556="Fees",Sum!O$548=N$5),Sum!O556,0)</f>
        <v>0</v>
      </c>
      <c r="O100" s="13">
        <f>IF(AND(Sum!$F556="Yes",Sum!$G556="Fees",Sum!P$548=O$5),Sum!P556,0)</f>
        <v>0</v>
      </c>
      <c r="P100" s="13">
        <f>IF(AND(Sum!$F556="Yes",Sum!$G556="Fees",Sum!Q$548=P$5),Sum!Q556,0)</f>
        <v>0</v>
      </c>
      <c r="Q100" s="264" t="str">
        <f>IF(AND(Sum!$F556="Yes",Sum!$G556="Fees"),Sum!$E556,"")</f>
        <v/>
      </c>
    </row>
    <row r="101" spans="1:17" ht="12.75" customHeight="1" x14ac:dyDescent="0.25">
      <c r="A101" s="18"/>
      <c r="B101" s="306" t="str">
        <f>IF(AND(Sum!$F557="Yes",Sum!$G557="Fees"),Sum!$B557,"")</f>
        <v/>
      </c>
      <c r="C101" s="3"/>
      <c r="D101" s="3"/>
      <c r="E101" s="13"/>
      <c r="F101" s="13"/>
      <c r="G101" s="153">
        <f>IF(AND(Sum!$F557="Yes",Sum!$G557="Fees",Sum!H$548=G$5),Sum!H557,0)</f>
        <v>0</v>
      </c>
      <c r="H101" s="13">
        <f>IF(AND(Sum!$F557="Yes",Sum!$G557="Fees",Sum!I$548=H$5),Sum!I557,0)</f>
        <v>0</v>
      </c>
      <c r="I101" s="13">
        <f>IF(AND(Sum!$F557="Yes",Sum!$G557="Fees",Sum!J$548=I$5),Sum!J557,0)</f>
        <v>0</v>
      </c>
      <c r="J101" s="13">
        <f>IF(AND(Sum!$F557="Yes",Sum!$G557="Fees",Sum!K$548=J$5),Sum!K557,0)</f>
        <v>0</v>
      </c>
      <c r="K101" s="13">
        <f>IF(AND(Sum!$F557="Yes",Sum!$G557="Fees",Sum!L$548=K$5),Sum!L557,0)</f>
        <v>0</v>
      </c>
      <c r="L101" s="13">
        <f>IF(AND(Sum!$F557="Yes",Sum!$G557="Fees",Sum!M$548=L$5),Sum!M557,0)</f>
        <v>0</v>
      </c>
      <c r="M101" s="13">
        <f>IF(AND(Sum!$F557="Yes",Sum!$G557="Fees",Sum!N$548=M$5),Sum!N557,0)</f>
        <v>0</v>
      </c>
      <c r="N101" s="13">
        <f>IF(AND(Sum!$F557="Yes",Sum!$G557="Fees",Sum!O$548=N$5),Sum!O557,0)</f>
        <v>0</v>
      </c>
      <c r="O101" s="13">
        <f>IF(AND(Sum!$F557="Yes",Sum!$G557="Fees",Sum!P$548=O$5),Sum!P557,0)</f>
        <v>0</v>
      </c>
      <c r="P101" s="13">
        <f>IF(AND(Sum!$F557="Yes",Sum!$G557="Fees",Sum!Q$548=P$5),Sum!Q557,0)</f>
        <v>0</v>
      </c>
      <c r="Q101" s="264" t="str">
        <f>IF(AND(Sum!$F557="Yes",Sum!$G557="Fees"),Sum!$E557,"")</f>
        <v/>
      </c>
    </row>
    <row r="102" spans="1:17" ht="12.75" customHeight="1" x14ac:dyDescent="0.25">
      <c r="A102" s="18"/>
      <c r="B102" s="306" t="str">
        <f>IF(AND(Sum!$F558="Yes",Sum!$G558="Fees"),Sum!$B558,"")</f>
        <v/>
      </c>
      <c r="C102" s="3"/>
      <c r="D102" s="3"/>
      <c r="E102" s="13"/>
      <c r="F102" s="13"/>
      <c r="G102" s="153">
        <f>IF(AND(Sum!$F558="Yes",Sum!$G558="Fees",Sum!H$548=G$5),Sum!H558,0)</f>
        <v>0</v>
      </c>
      <c r="H102" s="13">
        <f>IF(AND(Sum!$F558="Yes",Sum!$G558="Fees",Sum!I$548=H$5),Sum!I558,0)</f>
        <v>0</v>
      </c>
      <c r="I102" s="13">
        <f>IF(AND(Sum!$F558="Yes",Sum!$G558="Fees",Sum!J$548=I$5),Sum!J558,0)</f>
        <v>0</v>
      </c>
      <c r="J102" s="13">
        <f>IF(AND(Sum!$F558="Yes",Sum!$G558="Fees",Sum!K$548=J$5),Sum!K558,0)</f>
        <v>0</v>
      </c>
      <c r="K102" s="13">
        <f>IF(AND(Sum!$F558="Yes",Sum!$G558="Fees",Sum!L$548=K$5),Sum!L558,0)</f>
        <v>0</v>
      </c>
      <c r="L102" s="13">
        <f>IF(AND(Sum!$F558="Yes",Sum!$G558="Fees",Sum!M$548=L$5),Sum!M558,0)</f>
        <v>0</v>
      </c>
      <c r="M102" s="13">
        <f>IF(AND(Sum!$F558="Yes",Sum!$G558="Fees",Sum!N$548=M$5),Sum!N558,0)</f>
        <v>0</v>
      </c>
      <c r="N102" s="13">
        <f>IF(AND(Sum!$F558="Yes",Sum!$G558="Fees",Sum!O$548=N$5),Sum!O558,0)</f>
        <v>0</v>
      </c>
      <c r="O102" s="13">
        <f>IF(AND(Sum!$F558="Yes",Sum!$G558="Fees",Sum!P$548=O$5),Sum!P558,0)</f>
        <v>0</v>
      </c>
      <c r="P102" s="13">
        <f>IF(AND(Sum!$F558="Yes",Sum!$G558="Fees",Sum!Q$548=P$5),Sum!Q558,0)</f>
        <v>0</v>
      </c>
      <c r="Q102" s="264" t="str">
        <f>IF(AND(Sum!$F558="Yes",Sum!$G558="Fees"),Sum!$E558,"")</f>
        <v/>
      </c>
    </row>
    <row r="103" spans="1:17" ht="12.75" customHeight="1" x14ac:dyDescent="0.25">
      <c r="A103" s="18"/>
      <c r="B103" s="306" t="str">
        <f>IF(AND(Sum!$F559="Yes",Sum!$G559="Fees"),Sum!$B559,"")</f>
        <v/>
      </c>
      <c r="C103" s="3"/>
      <c r="D103" s="3"/>
      <c r="E103" s="13"/>
      <c r="F103" s="13"/>
      <c r="G103" s="153">
        <f>IF(AND(Sum!$F559="Yes",Sum!$G559="Fees",Sum!H$548=G$5),Sum!H559,0)</f>
        <v>0</v>
      </c>
      <c r="H103" s="13">
        <f>IF(AND(Sum!$F559="Yes",Sum!$G559="Fees",Sum!I$548=H$5),Sum!I559,0)</f>
        <v>0</v>
      </c>
      <c r="I103" s="13">
        <f>IF(AND(Sum!$F559="Yes",Sum!$G559="Fees",Sum!J$548=I$5),Sum!J559,0)</f>
        <v>0</v>
      </c>
      <c r="J103" s="13">
        <f>IF(AND(Sum!$F559="Yes",Sum!$G559="Fees",Sum!K$548=J$5),Sum!K559,0)</f>
        <v>0</v>
      </c>
      <c r="K103" s="13">
        <f>IF(AND(Sum!$F559="Yes",Sum!$G559="Fees",Sum!L$548=K$5),Sum!L559,0)</f>
        <v>0</v>
      </c>
      <c r="L103" s="13">
        <f>IF(AND(Sum!$F559="Yes",Sum!$G559="Fees",Sum!M$548=L$5),Sum!M559,0)</f>
        <v>0</v>
      </c>
      <c r="M103" s="13">
        <f>IF(AND(Sum!$F559="Yes",Sum!$G559="Fees",Sum!N$548=M$5),Sum!N559,0)</f>
        <v>0</v>
      </c>
      <c r="N103" s="13">
        <f>IF(AND(Sum!$F559="Yes",Sum!$G559="Fees",Sum!O$548=N$5),Sum!O559,0)</f>
        <v>0</v>
      </c>
      <c r="O103" s="13">
        <f>IF(AND(Sum!$F559="Yes",Sum!$G559="Fees",Sum!P$548=O$5),Sum!P559,0)</f>
        <v>0</v>
      </c>
      <c r="P103" s="13">
        <f>IF(AND(Sum!$F559="Yes",Sum!$G559="Fees",Sum!Q$548=P$5),Sum!Q559,0)</f>
        <v>0</v>
      </c>
      <c r="Q103" s="264" t="str">
        <f>IF(AND(Sum!$F559="Yes",Sum!$G559="Fees"),Sum!$E559,"")</f>
        <v/>
      </c>
    </row>
    <row r="104" spans="1:17" ht="12.75" customHeight="1" x14ac:dyDescent="0.25">
      <c r="A104" s="18"/>
      <c r="B104" s="306" t="str">
        <f>IF(AND(Sum!$F560="Yes",Sum!$G560="Fees"),Sum!$B560,"")</f>
        <v/>
      </c>
      <c r="C104" s="3"/>
      <c r="D104" s="3"/>
      <c r="E104" s="13"/>
      <c r="F104" s="13"/>
      <c r="G104" s="153">
        <f>IF(AND(Sum!$F560="Yes",Sum!$G560="Fees",Sum!H$548=G$5),Sum!H560,0)</f>
        <v>0</v>
      </c>
      <c r="H104" s="13">
        <f>IF(AND(Sum!$F560="Yes",Sum!$G560="Fees",Sum!I$548=H$5),Sum!I560,0)</f>
        <v>0</v>
      </c>
      <c r="I104" s="13">
        <f>IF(AND(Sum!$F560="Yes",Sum!$G560="Fees",Sum!J$548=I$5),Sum!J560,0)</f>
        <v>0</v>
      </c>
      <c r="J104" s="13">
        <f>IF(AND(Sum!$F560="Yes",Sum!$G560="Fees",Sum!K$548=J$5),Sum!K560,0)</f>
        <v>0</v>
      </c>
      <c r="K104" s="13">
        <f>IF(AND(Sum!$F560="Yes",Sum!$G560="Fees",Sum!L$548=K$5),Sum!L560,0)</f>
        <v>0</v>
      </c>
      <c r="L104" s="13">
        <f>IF(AND(Sum!$F560="Yes",Sum!$G560="Fees",Sum!M$548=L$5),Sum!M560,0)</f>
        <v>0</v>
      </c>
      <c r="M104" s="13">
        <f>IF(AND(Sum!$F560="Yes",Sum!$G560="Fees",Sum!N$548=M$5),Sum!N560,0)</f>
        <v>0</v>
      </c>
      <c r="N104" s="13">
        <f>IF(AND(Sum!$F560="Yes",Sum!$G560="Fees",Sum!O$548=N$5),Sum!O560,0)</f>
        <v>0</v>
      </c>
      <c r="O104" s="13">
        <f>IF(AND(Sum!$F560="Yes",Sum!$G560="Fees",Sum!P$548=O$5),Sum!P560,0)</f>
        <v>0</v>
      </c>
      <c r="P104" s="13">
        <f>IF(AND(Sum!$F560="Yes",Sum!$G560="Fees",Sum!Q$548=P$5),Sum!Q560,0)</f>
        <v>0</v>
      </c>
      <c r="Q104" s="264" t="str">
        <f>IF(AND(Sum!$F560="Yes",Sum!$G560="Fees"),Sum!$E560,"")</f>
        <v/>
      </c>
    </row>
    <row r="105" spans="1:17" ht="12.75" customHeight="1" x14ac:dyDescent="0.25">
      <c r="A105" s="18"/>
      <c r="B105" s="306" t="str">
        <f>IF(AND(Sum!$F561="Yes",Sum!$G561="Fees"),Sum!$B561,"")</f>
        <v/>
      </c>
      <c r="C105" s="3"/>
      <c r="D105" s="3"/>
      <c r="E105" s="13"/>
      <c r="F105" s="13"/>
      <c r="G105" s="153">
        <f>IF(AND(Sum!$F561="Yes",Sum!$G561="Fees",Sum!H$548=G$5),Sum!H561,0)</f>
        <v>0</v>
      </c>
      <c r="H105" s="13">
        <f>IF(AND(Sum!$F561="Yes",Sum!$G561="Fees",Sum!I$548=H$5),Sum!I561,0)</f>
        <v>0</v>
      </c>
      <c r="I105" s="13">
        <f>IF(AND(Sum!$F561="Yes",Sum!$G561="Fees",Sum!J$548=I$5),Sum!J561,0)</f>
        <v>0</v>
      </c>
      <c r="J105" s="13">
        <f>IF(AND(Sum!$F561="Yes",Sum!$G561="Fees",Sum!K$548=J$5),Sum!K561,0)</f>
        <v>0</v>
      </c>
      <c r="K105" s="13">
        <f>IF(AND(Sum!$F561="Yes",Sum!$G561="Fees",Sum!L$548=K$5),Sum!L561,0)</f>
        <v>0</v>
      </c>
      <c r="L105" s="13">
        <f>IF(AND(Sum!$F561="Yes",Sum!$G561="Fees",Sum!M$548=L$5),Sum!M561,0)</f>
        <v>0</v>
      </c>
      <c r="M105" s="13">
        <f>IF(AND(Sum!$F561="Yes",Sum!$G561="Fees",Sum!N$548=M$5),Sum!N561,0)</f>
        <v>0</v>
      </c>
      <c r="N105" s="13">
        <f>IF(AND(Sum!$F561="Yes",Sum!$G561="Fees",Sum!O$548=N$5),Sum!O561,0)</f>
        <v>0</v>
      </c>
      <c r="O105" s="13">
        <f>IF(AND(Sum!$F561="Yes",Sum!$G561="Fees",Sum!P$548=O$5),Sum!P561,0)</f>
        <v>0</v>
      </c>
      <c r="P105" s="13">
        <f>IF(AND(Sum!$F561="Yes",Sum!$G561="Fees",Sum!Q$548=P$5),Sum!Q561,0)</f>
        <v>0</v>
      </c>
      <c r="Q105" s="264" t="str">
        <f>IF(AND(Sum!$F561="Yes",Sum!$G561="Fees"),Sum!$E561,"")</f>
        <v/>
      </c>
    </row>
    <row r="106" spans="1:17" ht="12.75" customHeight="1" x14ac:dyDescent="0.25">
      <c r="A106" s="18"/>
      <c r="B106" s="306" t="str">
        <f>IF(AND(Sum!$F562="Yes",Sum!$G562="Fees"),Sum!$B562,"")</f>
        <v/>
      </c>
      <c r="C106" s="74"/>
      <c r="D106" s="74"/>
      <c r="E106" s="13"/>
      <c r="F106" s="13"/>
      <c r="G106" s="153">
        <f>IF(AND(Sum!$F562="Yes",Sum!$G562="Fees",Sum!H$548=G$5),Sum!H562,0)</f>
        <v>0</v>
      </c>
      <c r="H106" s="13">
        <f>IF(AND(Sum!$F562="Yes",Sum!$G562="Fees",Sum!I$548=H$5),Sum!I562,0)</f>
        <v>0</v>
      </c>
      <c r="I106" s="13">
        <f>IF(AND(Sum!$F562="Yes",Sum!$G562="Fees",Sum!J$548=I$5),Sum!J562,0)</f>
        <v>0</v>
      </c>
      <c r="J106" s="13">
        <f>IF(AND(Sum!$F562="Yes",Sum!$G562="Fees",Sum!K$548=J$5),Sum!K562,0)</f>
        <v>0</v>
      </c>
      <c r="K106" s="13">
        <f>IF(AND(Sum!$F562="Yes",Sum!$G562="Fees",Sum!L$548=K$5),Sum!L562,0)</f>
        <v>0</v>
      </c>
      <c r="L106" s="13">
        <f>IF(AND(Sum!$F562="Yes",Sum!$G562="Fees",Sum!M$548=L$5),Sum!M562,0)</f>
        <v>0</v>
      </c>
      <c r="M106" s="13">
        <f>IF(AND(Sum!$F562="Yes",Sum!$G562="Fees",Sum!N$548=M$5),Sum!N562,0)</f>
        <v>0</v>
      </c>
      <c r="N106" s="13">
        <f>IF(AND(Sum!$F562="Yes",Sum!$G562="Fees",Sum!O$548=N$5),Sum!O562,0)</f>
        <v>0</v>
      </c>
      <c r="O106" s="13">
        <f>IF(AND(Sum!$F562="Yes",Sum!$G562="Fees",Sum!P$548=O$5),Sum!P562,0)</f>
        <v>0</v>
      </c>
      <c r="P106" s="13">
        <f>IF(AND(Sum!$F562="Yes",Sum!$G562="Fees",Sum!Q$548=P$5),Sum!Q562,0)</f>
        <v>0</v>
      </c>
      <c r="Q106" s="264" t="str">
        <f>IF(AND(Sum!$F562="Yes",Sum!$G562="Fees"),Sum!$E562,"")</f>
        <v/>
      </c>
    </row>
    <row r="107" spans="1:17" ht="12.75" customHeight="1" x14ac:dyDescent="0.25">
      <c r="A107" s="18"/>
      <c r="B107" s="306" t="str">
        <f>IF(AND(Sum!$F563="Yes",Sum!$G563="Fees"),Sum!$B563,"")</f>
        <v/>
      </c>
      <c r="C107" s="74"/>
      <c r="D107" s="74"/>
      <c r="E107" s="13"/>
      <c r="F107" s="13"/>
      <c r="G107" s="153">
        <f>IF(AND(Sum!$F563="Yes",Sum!$G563="Fees",Sum!H$548=G$5),Sum!H563,0)</f>
        <v>0</v>
      </c>
      <c r="H107" s="13">
        <f>IF(AND(Sum!$F563="Yes",Sum!$G563="Fees",Sum!I$548=H$5),Sum!I563,0)</f>
        <v>0</v>
      </c>
      <c r="I107" s="13">
        <f>IF(AND(Sum!$F563="Yes",Sum!$G563="Fees",Sum!J$548=I$5),Sum!J563,0)</f>
        <v>0</v>
      </c>
      <c r="J107" s="13">
        <f>IF(AND(Sum!$F563="Yes",Sum!$G563="Fees",Sum!K$548=J$5),Sum!K563,0)</f>
        <v>0</v>
      </c>
      <c r="K107" s="13">
        <f>IF(AND(Sum!$F563="Yes",Sum!$G563="Fees",Sum!L$548=K$5),Sum!L563,0)</f>
        <v>0</v>
      </c>
      <c r="L107" s="13">
        <f>IF(AND(Sum!$F563="Yes",Sum!$G563="Fees",Sum!M$548=L$5),Sum!M563,0)</f>
        <v>0</v>
      </c>
      <c r="M107" s="13">
        <f>IF(AND(Sum!$F563="Yes",Sum!$G563="Fees",Sum!N$548=M$5),Sum!N563,0)</f>
        <v>0</v>
      </c>
      <c r="N107" s="13">
        <f>IF(AND(Sum!$F563="Yes",Sum!$G563="Fees",Sum!O$548=N$5),Sum!O563,0)</f>
        <v>0</v>
      </c>
      <c r="O107" s="13">
        <f>IF(AND(Sum!$F563="Yes",Sum!$G563="Fees",Sum!P$548=O$5),Sum!P563,0)</f>
        <v>0</v>
      </c>
      <c r="P107" s="13">
        <f>IF(AND(Sum!$F563="Yes",Sum!$G563="Fees",Sum!Q$548=P$5),Sum!Q563,0)</f>
        <v>0</v>
      </c>
      <c r="Q107" s="264" t="str">
        <f>IF(AND(Sum!$F563="Yes",Sum!$G563="Fees"),Sum!$E563,"")</f>
        <v/>
      </c>
    </row>
    <row r="108" spans="1:17" ht="12.75" customHeight="1" x14ac:dyDescent="0.25">
      <c r="A108" s="18"/>
      <c r="B108" s="306" t="str">
        <f>IF(AND(Sum!$F564="Yes",Sum!$G564="Fees"),Sum!$B564,"")</f>
        <v/>
      </c>
      <c r="C108" s="3"/>
      <c r="D108" s="3"/>
      <c r="E108" s="13"/>
      <c r="F108" s="13"/>
      <c r="G108" s="153">
        <f>IF(AND(Sum!$F564="Yes",Sum!$G564="Fees",Sum!H$548=G$5),Sum!H564,0)</f>
        <v>0</v>
      </c>
      <c r="H108" s="13">
        <f>IF(AND(Sum!$F564="Yes",Sum!$G564="Fees",Sum!I$548=H$5),Sum!I564,0)</f>
        <v>0</v>
      </c>
      <c r="I108" s="13">
        <f>IF(AND(Sum!$F564="Yes",Sum!$G564="Fees",Sum!J$548=I$5),Sum!J564,0)</f>
        <v>0</v>
      </c>
      <c r="J108" s="13">
        <f>IF(AND(Sum!$F564="Yes",Sum!$G564="Fees",Sum!K$548=J$5),Sum!K564,0)</f>
        <v>0</v>
      </c>
      <c r="K108" s="13">
        <f>IF(AND(Sum!$F564="Yes",Sum!$G564="Fees",Sum!L$548=K$5),Sum!L564,0)</f>
        <v>0</v>
      </c>
      <c r="L108" s="13">
        <f>IF(AND(Sum!$F564="Yes",Sum!$G564="Fees",Sum!M$548=L$5),Sum!M564,0)</f>
        <v>0</v>
      </c>
      <c r="M108" s="13">
        <f>IF(AND(Sum!$F564="Yes",Sum!$G564="Fees",Sum!N$548=M$5),Sum!N564,0)</f>
        <v>0</v>
      </c>
      <c r="N108" s="13">
        <f>IF(AND(Sum!$F564="Yes",Sum!$G564="Fees",Sum!O$548=N$5),Sum!O564,0)</f>
        <v>0</v>
      </c>
      <c r="O108" s="13">
        <f>IF(AND(Sum!$F564="Yes",Sum!$G564="Fees",Sum!P$548=O$5),Sum!P564,0)</f>
        <v>0</v>
      </c>
      <c r="P108" s="13">
        <f>IF(AND(Sum!$F564="Yes",Sum!$G564="Fees",Sum!Q$548=P$5),Sum!Q564,0)</f>
        <v>0</v>
      </c>
      <c r="Q108" s="264" t="str">
        <f>IF(AND(Sum!$F564="Yes",Sum!$G564="Fees"),Sum!$E564,"")</f>
        <v/>
      </c>
    </row>
    <row r="109" spans="1:17" ht="12.75" customHeight="1" x14ac:dyDescent="0.25">
      <c r="A109" s="18"/>
      <c r="B109" s="306" t="str">
        <f>IF(AND(Sum!$F565="Yes",Sum!$G565="Fees"),Sum!$B565,"")</f>
        <v/>
      </c>
      <c r="C109" s="3"/>
      <c r="D109" s="3"/>
      <c r="E109" s="13"/>
      <c r="F109" s="13"/>
      <c r="G109" s="153">
        <f>IF(AND(Sum!$F565="Yes",Sum!$G565="Fees",Sum!H$548=G$5),Sum!H565,0)</f>
        <v>0</v>
      </c>
      <c r="H109" s="13">
        <f>IF(AND(Sum!$F565="Yes",Sum!$G565="Fees",Sum!I$548=H$5),Sum!I565,0)</f>
        <v>0</v>
      </c>
      <c r="I109" s="13">
        <f>IF(AND(Sum!$F565="Yes",Sum!$G565="Fees",Sum!J$548=I$5),Sum!J565,0)</f>
        <v>0</v>
      </c>
      <c r="J109" s="13">
        <f>IF(AND(Sum!$F565="Yes",Sum!$G565="Fees",Sum!K$548=J$5),Sum!K565,0)</f>
        <v>0</v>
      </c>
      <c r="K109" s="13">
        <f>IF(AND(Sum!$F565="Yes",Sum!$G565="Fees",Sum!L$548=K$5),Sum!L565,0)</f>
        <v>0</v>
      </c>
      <c r="L109" s="13">
        <f>IF(AND(Sum!$F565="Yes",Sum!$G565="Fees",Sum!M$548=L$5),Sum!M565,0)</f>
        <v>0</v>
      </c>
      <c r="M109" s="13">
        <f>IF(AND(Sum!$F565="Yes",Sum!$G565="Fees",Sum!N$548=M$5),Sum!N565,0)</f>
        <v>0</v>
      </c>
      <c r="N109" s="13">
        <f>IF(AND(Sum!$F565="Yes",Sum!$G565="Fees",Sum!O$548=N$5),Sum!O565,0)</f>
        <v>0</v>
      </c>
      <c r="O109" s="13">
        <f>IF(AND(Sum!$F565="Yes",Sum!$G565="Fees",Sum!P$548=O$5),Sum!P565,0)</f>
        <v>0</v>
      </c>
      <c r="P109" s="13">
        <f>IF(AND(Sum!$F565="Yes",Sum!$G565="Fees",Sum!Q$548=P$5),Sum!Q565,0)</f>
        <v>0</v>
      </c>
      <c r="Q109" s="264" t="str">
        <f>IF(AND(Sum!$F565="Yes",Sum!$G565="Fees"),Sum!$E565,"")</f>
        <v/>
      </c>
    </row>
    <row r="110" spans="1:17" ht="12.75" customHeight="1" x14ac:dyDescent="0.25">
      <c r="A110" s="18"/>
      <c r="B110" s="306" t="str">
        <f>IF(AND(Sum!$F566="Yes",Sum!$G566="Fees"),Sum!$B566,"")</f>
        <v/>
      </c>
      <c r="C110" s="3"/>
      <c r="D110" s="3"/>
      <c r="E110" s="13"/>
      <c r="F110" s="13"/>
      <c r="G110" s="153">
        <f>IF(AND(Sum!$F566="Yes",Sum!$G566="Fees",Sum!H$548=G$5),Sum!H566,0)</f>
        <v>0</v>
      </c>
      <c r="H110" s="13">
        <f>IF(AND(Sum!$F566="Yes",Sum!$G566="Fees",Sum!I$548=H$5),Sum!I566,0)</f>
        <v>0</v>
      </c>
      <c r="I110" s="13">
        <f>IF(AND(Sum!$F566="Yes",Sum!$G566="Fees",Sum!J$548=I$5),Sum!J566,0)</f>
        <v>0</v>
      </c>
      <c r="J110" s="13">
        <f>IF(AND(Sum!$F566="Yes",Sum!$G566="Fees",Sum!K$548=J$5),Sum!K566,0)</f>
        <v>0</v>
      </c>
      <c r="K110" s="13">
        <f>IF(AND(Sum!$F566="Yes",Sum!$G566="Fees",Sum!L$548=K$5),Sum!L566,0)</f>
        <v>0</v>
      </c>
      <c r="L110" s="13">
        <f>IF(AND(Sum!$F566="Yes",Sum!$G566="Fees",Sum!M$548=L$5),Sum!M566,0)</f>
        <v>0</v>
      </c>
      <c r="M110" s="13">
        <f>IF(AND(Sum!$F566="Yes",Sum!$G566="Fees",Sum!N$548=M$5),Sum!N566,0)</f>
        <v>0</v>
      </c>
      <c r="N110" s="13">
        <f>IF(AND(Sum!$F566="Yes",Sum!$G566="Fees",Sum!O$548=N$5),Sum!O566,0)</f>
        <v>0</v>
      </c>
      <c r="O110" s="13">
        <f>IF(AND(Sum!$F566="Yes",Sum!$G566="Fees",Sum!P$548=O$5),Sum!P566,0)</f>
        <v>0</v>
      </c>
      <c r="P110" s="13">
        <f>IF(AND(Sum!$F566="Yes",Sum!$G566="Fees",Sum!Q$548=P$5),Sum!Q566,0)</f>
        <v>0</v>
      </c>
      <c r="Q110" s="264" t="str">
        <f>IF(AND(Sum!$F566="Yes",Sum!$G566="Fees"),Sum!$E566,"")</f>
        <v/>
      </c>
    </row>
    <row r="111" spans="1:17" ht="12.75" customHeight="1" x14ac:dyDescent="0.25">
      <c r="A111" s="18"/>
      <c r="B111" s="306" t="str">
        <f>IF(AND(Sum!$F567="Yes",Sum!$G567="Fees"),Sum!$B567,"")</f>
        <v/>
      </c>
      <c r="C111" s="3"/>
      <c r="D111" s="3"/>
      <c r="E111" s="13"/>
      <c r="F111" s="13"/>
      <c r="G111" s="153">
        <f>IF(AND(Sum!$F567="Yes",Sum!$G567="Fees",Sum!H$548=G$5),Sum!H567,0)</f>
        <v>0</v>
      </c>
      <c r="H111" s="13">
        <f>IF(AND(Sum!$F567="Yes",Sum!$G567="Fees",Sum!I$548=H$5),Sum!I567,0)</f>
        <v>0</v>
      </c>
      <c r="I111" s="13">
        <f>IF(AND(Sum!$F567="Yes",Sum!$G567="Fees",Sum!J$548=I$5),Sum!J567,0)</f>
        <v>0</v>
      </c>
      <c r="J111" s="13">
        <f>IF(AND(Sum!$F567="Yes",Sum!$G567="Fees",Sum!K$548=J$5),Sum!K567,0)</f>
        <v>0</v>
      </c>
      <c r="K111" s="13">
        <f>IF(AND(Sum!$F567="Yes",Sum!$G567="Fees",Sum!L$548=K$5),Sum!L567,0)</f>
        <v>0</v>
      </c>
      <c r="L111" s="13">
        <f>IF(AND(Sum!$F567="Yes",Sum!$G567="Fees",Sum!M$548=L$5),Sum!M567,0)</f>
        <v>0</v>
      </c>
      <c r="M111" s="13">
        <f>IF(AND(Sum!$F567="Yes",Sum!$G567="Fees",Sum!N$548=M$5),Sum!N567,0)</f>
        <v>0</v>
      </c>
      <c r="N111" s="13">
        <f>IF(AND(Sum!$F567="Yes",Sum!$G567="Fees",Sum!O$548=N$5),Sum!O567,0)</f>
        <v>0</v>
      </c>
      <c r="O111" s="13">
        <f>IF(AND(Sum!$F567="Yes",Sum!$G567="Fees",Sum!P$548=O$5),Sum!P567,0)</f>
        <v>0</v>
      </c>
      <c r="P111" s="13">
        <f>IF(AND(Sum!$F567="Yes",Sum!$G567="Fees",Sum!Q$548=P$5),Sum!Q567,0)</f>
        <v>0</v>
      </c>
      <c r="Q111" s="264" t="str">
        <f>IF(AND(Sum!$F567="Yes",Sum!$G567="Fees"),Sum!$E567,"")</f>
        <v/>
      </c>
    </row>
    <row r="112" spans="1:17" ht="12.75" customHeight="1" x14ac:dyDescent="0.25">
      <c r="A112" s="18"/>
      <c r="B112" s="306" t="str">
        <f>IF(AND(Sum!$F568="Yes",Sum!$G568="Fees"),Sum!$B568,"")</f>
        <v/>
      </c>
      <c r="C112" s="3"/>
      <c r="D112" s="3"/>
      <c r="E112" s="13"/>
      <c r="F112" s="13"/>
      <c r="G112" s="153">
        <f>IF(AND(Sum!$F568="Yes",Sum!$G568="Fees",Sum!H$548=G$5),Sum!H568,0)</f>
        <v>0</v>
      </c>
      <c r="H112" s="13">
        <f>IF(AND(Sum!$F568="Yes",Sum!$G568="Fees",Sum!I$548=H$5),Sum!I568,0)</f>
        <v>0</v>
      </c>
      <c r="I112" s="13">
        <f>IF(AND(Sum!$F568="Yes",Sum!$G568="Fees",Sum!J$548=I$5),Sum!J568,0)</f>
        <v>0</v>
      </c>
      <c r="J112" s="13">
        <f>IF(AND(Sum!$F568="Yes",Sum!$G568="Fees",Sum!K$548=J$5),Sum!K568,0)</f>
        <v>0</v>
      </c>
      <c r="K112" s="13">
        <f>IF(AND(Sum!$F568="Yes",Sum!$G568="Fees",Sum!L$548=K$5),Sum!L568,0)</f>
        <v>0</v>
      </c>
      <c r="L112" s="13">
        <f>IF(AND(Sum!$F568="Yes",Sum!$G568="Fees",Sum!M$548=L$5),Sum!M568,0)</f>
        <v>0</v>
      </c>
      <c r="M112" s="13">
        <f>IF(AND(Sum!$F568="Yes",Sum!$G568="Fees",Sum!N$548=M$5),Sum!N568,0)</f>
        <v>0</v>
      </c>
      <c r="N112" s="13">
        <f>IF(AND(Sum!$F568="Yes",Sum!$G568="Fees",Sum!O$548=N$5),Sum!O568,0)</f>
        <v>0</v>
      </c>
      <c r="O112" s="13">
        <f>IF(AND(Sum!$F568="Yes",Sum!$G568="Fees",Sum!P$548=O$5),Sum!P568,0)</f>
        <v>0</v>
      </c>
      <c r="P112" s="13">
        <f>IF(AND(Sum!$F568="Yes",Sum!$G568="Fees",Sum!Q$548=P$5),Sum!Q568,0)</f>
        <v>0</v>
      </c>
      <c r="Q112" s="264" t="str">
        <f>IF(AND(Sum!$F568="Yes",Sum!$G568="Fees"),Sum!$E568,"")</f>
        <v/>
      </c>
    </row>
    <row r="113" spans="1:17" ht="12.75" customHeight="1" x14ac:dyDescent="0.25">
      <c r="A113" s="18"/>
      <c r="B113" s="306" t="str">
        <f>IF(AND(Sum!$F569="Yes",Sum!$G569="Fees"),Sum!$B569,"")</f>
        <v/>
      </c>
      <c r="C113" s="3"/>
      <c r="D113" s="3"/>
      <c r="E113" s="13"/>
      <c r="F113" s="13"/>
      <c r="G113" s="153">
        <f>IF(AND(Sum!$F569="Yes",Sum!$G569="Fees",Sum!H$548=G$5),Sum!H569,0)</f>
        <v>0</v>
      </c>
      <c r="H113" s="13">
        <f>IF(AND(Sum!$F569="Yes",Sum!$G569="Fees",Sum!I$548=H$5),Sum!I569,0)</f>
        <v>0</v>
      </c>
      <c r="I113" s="13">
        <f>IF(AND(Sum!$F569="Yes",Sum!$G569="Fees",Sum!J$548=I$5),Sum!J569,0)</f>
        <v>0</v>
      </c>
      <c r="J113" s="13">
        <f>IF(AND(Sum!$F569="Yes",Sum!$G569="Fees",Sum!K$548=J$5),Sum!K569,0)</f>
        <v>0</v>
      </c>
      <c r="K113" s="13">
        <f>IF(AND(Sum!$F569="Yes",Sum!$G569="Fees",Sum!L$548=K$5),Sum!L569,0)</f>
        <v>0</v>
      </c>
      <c r="L113" s="13">
        <f>IF(AND(Sum!$F569="Yes",Sum!$G569="Fees",Sum!M$548=L$5),Sum!M569,0)</f>
        <v>0</v>
      </c>
      <c r="M113" s="13">
        <f>IF(AND(Sum!$F569="Yes",Sum!$G569="Fees",Sum!N$548=M$5),Sum!N569,0)</f>
        <v>0</v>
      </c>
      <c r="N113" s="13">
        <f>IF(AND(Sum!$F569="Yes",Sum!$G569="Fees",Sum!O$548=N$5),Sum!O569,0)</f>
        <v>0</v>
      </c>
      <c r="O113" s="13">
        <f>IF(AND(Sum!$F569="Yes",Sum!$G569="Fees",Sum!P$548=O$5),Sum!P569,0)</f>
        <v>0</v>
      </c>
      <c r="P113" s="13">
        <f>IF(AND(Sum!$F569="Yes",Sum!$G569="Fees",Sum!Q$548=P$5),Sum!Q569,0)</f>
        <v>0</v>
      </c>
      <c r="Q113" s="264" t="str">
        <f>IF(AND(Sum!$F569="Yes",Sum!$G569="Fees"),Sum!$E569,"")</f>
        <v/>
      </c>
    </row>
    <row r="114" spans="1:17" ht="12.75" customHeight="1" x14ac:dyDescent="0.25">
      <c r="A114" s="18"/>
      <c r="B114" s="306" t="str">
        <f>IF(AND(Sum!$F570="Yes",Sum!$G570="Fees"),Sum!$B570,"")</f>
        <v/>
      </c>
      <c r="C114" s="3"/>
      <c r="D114" s="3"/>
      <c r="E114" s="13"/>
      <c r="F114" s="13"/>
      <c r="G114" s="153">
        <f>IF(AND(Sum!$F570="Yes",Sum!$G570="Fees",Sum!H$548=G$5),Sum!H570,0)</f>
        <v>0</v>
      </c>
      <c r="H114" s="13">
        <f>IF(AND(Sum!$F570="Yes",Sum!$G570="Fees",Sum!I$548=H$5),Sum!I570,0)</f>
        <v>0</v>
      </c>
      <c r="I114" s="13">
        <f>IF(AND(Sum!$F570="Yes",Sum!$G570="Fees",Sum!J$548=I$5),Sum!J570,0)</f>
        <v>0</v>
      </c>
      <c r="J114" s="13">
        <f>IF(AND(Sum!$F570="Yes",Sum!$G570="Fees",Sum!K$548=J$5),Sum!K570,0)</f>
        <v>0</v>
      </c>
      <c r="K114" s="13">
        <f>IF(AND(Sum!$F570="Yes",Sum!$G570="Fees",Sum!L$548=K$5),Sum!L570,0)</f>
        <v>0</v>
      </c>
      <c r="L114" s="13">
        <f>IF(AND(Sum!$F570="Yes",Sum!$G570="Fees",Sum!M$548=L$5),Sum!M570,0)</f>
        <v>0</v>
      </c>
      <c r="M114" s="13">
        <f>IF(AND(Sum!$F570="Yes",Sum!$G570="Fees",Sum!N$548=M$5),Sum!N570,0)</f>
        <v>0</v>
      </c>
      <c r="N114" s="13">
        <f>IF(AND(Sum!$F570="Yes",Sum!$G570="Fees",Sum!O$548=N$5),Sum!O570,0)</f>
        <v>0</v>
      </c>
      <c r="O114" s="13">
        <f>IF(AND(Sum!$F570="Yes",Sum!$G570="Fees",Sum!P$548=O$5),Sum!P570,0)</f>
        <v>0</v>
      </c>
      <c r="P114" s="13">
        <f>IF(AND(Sum!$F570="Yes",Sum!$G570="Fees",Sum!Q$548=P$5),Sum!Q570,0)</f>
        <v>0</v>
      </c>
      <c r="Q114" s="264" t="str">
        <f>IF(AND(Sum!$F570="Yes",Sum!$G570="Fees"),Sum!$E570,"")</f>
        <v/>
      </c>
    </row>
    <row r="115" spans="1:17" ht="12.75" customHeight="1" x14ac:dyDescent="0.25">
      <c r="A115" s="18"/>
      <c r="B115" s="306" t="str">
        <f>IF(AND(Sum!$F571="Yes",Sum!$G571="Fees"),Sum!$B571,"")</f>
        <v/>
      </c>
      <c r="C115" s="3"/>
      <c r="D115" s="3"/>
      <c r="E115" s="13"/>
      <c r="F115" s="13"/>
      <c r="G115" s="153">
        <f>IF(AND(Sum!$F571="Yes",Sum!$G571="Fees",Sum!H$548=G$5),Sum!H571,0)</f>
        <v>0</v>
      </c>
      <c r="H115" s="13">
        <f>IF(AND(Sum!$F571="Yes",Sum!$G571="Fees",Sum!I$548=H$5),Sum!I571,0)</f>
        <v>0</v>
      </c>
      <c r="I115" s="13">
        <f>IF(AND(Sum!$F571="Yes",Sum!$G571="Fees",Sum!J$548=I$5),Sum!J571,0)</f>
        <v>0</v>
      </c>
      <c r="J115" s="13">
        <f>IF(AND(Sum!$F571="Yes",Sum!$G571="Fees",Sum!K$548=J$5),Sum!K571,0)</f>
        <v>0</v>
      </c>
      <c r="K115" s="13">
        <f>IF(AND(Sum!$F571="Yes",Sum!$G571="Fees",Sum!L$548=K$5),Sum!L571,0)</f>
        <v>0</v>
      </c>
      <c r="L115" s="13">
        <f>IF(AND(Sum!$F571="Yes",Sum!$G571="Fees",Sum!M$548=L$5),Sum!M571,0)</f>
        <v>0</v>
      </c>
      <c r="M115" s="13">
        <f>IF(AND(Sum!$F571="Yes",Sum!$G571="Fees",Sum!N$548=M$5),Sum!N571,0)</f>
        <v>0</v>
      </c>
      <c r="N115" s="13">
        <f>IF(AND(Sum!$F571="Yes",Sum!$G571="Fees",Sum!O$548=N$5),Sum!O571,0)</f>
        <v>0</v>
      </c>
      <c r="O115" s="13">
        <f>IF(AND(Sum!$F571="Yes",Sum!$G571="Fees",Sum!P$548=O$5),Sum!P571,0)</f>
        <v>0</v>
      </c>
      <c r="P115" s="13">
        <f>IF(AND(Sum!$F571="Yes",Sum!$G571="Fees",Sum!Q$548=P$5),Sum!Q571,0)</f>
        <v>0</v>
      </c>
      <c r="Q115" s="264" t="str">
        <f>IF(AND(Sum!$F571="Yes",Sum!$G571="Fees"),Sum!$E571,"")</f>
        <v/>
      </c>
    </row>
    <row r="116" spans="1:17" ht="12.75" customHeight="1" x14ac:dyDescent="0.25">
      <c r="A116" s="18"/>
      <c r="B116" s="306" t="str">
        <f>IF(AND(Sum!$F572="Yes",Sum!$G572="Fees"),Sum!$B572,"")</f>
        <v/>
      </c>
      <c r="C116" s="3"/>
      <c r="D116" s="3"/>
      <c r="E116" s="13"/>
      <c r="F116" s="13"/>
      <c r="G116" s="153">
        <f>IF(AND(Sum!$F572="Yes",Sum!$G572="Fees",Sum!H$548=G$5),Sum!H572,0)</f>
        <v>0</v>
      </c>
      <c r="H116" s="13">
        <f>IF(AND(Sum!$F572="Yes",Sum!$G572="Fees",Sum!I$548=H$5),Sum!I572,0)</f>
        <v>0</v>
      </c>
      <c r="I116" s="13">
        <f>IF(AND(Sum!$F572="Yes",Sum!$G572="Fees",Sum!J$548=I$5),Sum!J572,0)</f>
        <v>0</v>
      </c>
      <c r="J116" s="13">
        <f>IF(AND(Sum!$F572="Yes",Sum!$G572="Fees",Sum!K$548=J$5),Sum!K572,0)</f>
        <v>0</v>
      </c>
      <c r="K116" s="13">
        <f>IF(AND(Sum!$F572="Yes",Sum!$G572="Fees",Sum!L$548=K$5),Sum!L572,0)</f>
        <v>0</v>
      </c>
      <c r="L116" s="13">
        <f>IF(AND(Sum!$F572="Yes",Sum!$G572="Fees",Sum!M$548=L$5),Sum!M572,0)</f>
        <v>0</v>
      </c>
      <c r="M116" s="13">
        <f>IF(AND(Sum!$F572="Yes",Sum!$G572="Fees",Sum!N$548=M$5),Sum!N572,0)</f>
        <v>0</v>
      </c>
      <c r="N116" s="13">
        <f>IF(AND(Sum!$F572="Yes",Sum!$G572="Fees",Sum!O$548=N$5),Sum!O572,0)</f>
        <v>0</v>
      </c>
      <c r="O116" s="13">
        <f>IF(AND(Sum!$F572="Yes",Sum!$G572="Fees",Sum!P$548=O$5),Sum!P572,0)</f>
        <v>0</v>
      </c>
      <c r="P116" s="13">
        <f>IF(AND(Sum!$F572="Yes",Sum!$G572="Fees",Sum!Q$548=P$5),Sum!Q572,0)</f>
        <v>0</v>
      </c>
      <c r="Q116" s="264" t="str">
        <f>IF(AND(Sum!$F572="Yes",Sum!$G572="Fees"),Sum!$E572,"")</f>
        <v/>
      </c>
    </row>
    <row r="117" spans="1:17" ht="12.75" customHeight="1" x14ac:dyDescent="0.25">
      <c r="A117" s="18"/>
      <c r="B117" s="306" t="str">
        <f>IF(AND(Sum!$F573="Yes",Sum!$G573="Fees"),Sum!$B573,"")</f>
        <v/>
      </c>
      <c r="C117" s="3"/>
      <c r="D117" s="3"/>
      <c r="E117" s="13"/>
      <c r="F117" s="13"/>
      <c r="G117" s="153">
        <f>IF(AND(Sum!$F573="Yes",Sum!$G573="Fees",Sum!H$548=G$5),Sum!H573,0)</f>
        <v>0</v>
      </c>
      <c r="H117" s="13">
        <f>IF(AND(Sum!$F573="Yes",Sum!$G573="Fees",Sum!I$548=H$5),Sum!I573,0)</f>
        <v>0</v>
      </c>
      <c r="I117" s="13">
        <f>IF(AND(Sum!$F573="Yes",Sum!$G573="Fees",Sum!J$548=I$5),Sum!J573,0)</f>
        <v>0</v>
      </c>
      <c r="J117" s="13">
        <f>IF(AND(Sum!$F573="Yes",Sum!$G573="Fees",Sum!K$548=J$5),Sum!K573,0)</f>
        <v>0</v>
      </c>
      <c r="K117" s="13">
        <f>IF(AND(Sum!$F573="Yes",Sum!$G573="Fees",Sum!L$548=K$5),Sum!L573,0)</f>
        <v>0</v>
      </c>
      <c r="L117" s="13">
        <f>IF(AND(Sum!$F573="Yes",Sum!$G573="Fees",Sum!M$548=L$5),Sum!M573,0)</f>
        <v>0</v>
      </c>
      <c r="M117" s="13">
        <f>IF(AND(Sum!$F573="Yes",Sum!$G573="Fees",Sum!N$548=M$5),Sum!N573,0)</f>
        <v>0</v>
      </c>
      <c r="N117" s="13">
        <f>IF(AND(Sum!$F573="Yes",Sum!$G573="Fees",Sum!O$548=N$5),Sum!O573,0)</f>
        <v>0</v>
      </c>
      <c r="O117" s="13">
        <f>IF(AND(Sum!$F573="Yes",Sum!$G573="Fees",Sum!P$548=O$5),Sum!P573,0)</f>
        <v>0</v>
      </c>
      <c r="P117" s="13">
        <f>IF(AND(Sum!$F573="Yes",Sum!$G573="Fees",Sum!Q$548=P$5),Sum!Q573,0)</f>
        <v>0</v>
      </c>
      <c r="Q117" s="264" t="str">
        <f>IF(AND(Sum!$F573="Yes",Sum!$G573="Fees"),Sum!$E573,"")</f>
        <v/>
      </c>
    </row>
    <row r="118" spans="1:17" ht="12.75" customHeight="1" x14ac:dyDescent="0.25">
      <c r="A118" s="18"/>
      <c r="B118" s="306" t="str">
        <f>IF(AND(Sum!$F574="Yes",Sum!$G574="Fees"),Sum!$B574,"")</f>
        <v/>
      </c>
      <c r="C118" s="3"/>
      <c r="D118" s="3"/>
      <c r="E118" s="13"/>
      <c r="F118" s="13"/>
      <c r="G118" s="153">
        <f>IF(AND(Sum!$F574="Yes",Sum!$G574="Fees",Sum!H$548=G$5),Sum!H574,0)</f>
        <v>0</v>
      </c>
      <c r="H118" s="13">
        <f>IF(AND(Sum!$F574="Yes",Sum!$G574="Fees",Sum!I$548=H$5),Sum!I574,0)</f>
        <v>0</v>
      </c>
      <c r="I118" s="13">
        <f>IF(AND(Sum!$F574="Yes",Sum!$G574="Fees",Sum!J$548=I$5),Sum!J574,0)</f>
        <v>0</v>
      </c>
      <c r="J118" s="13">
        <f>IF(AND(Sum!$F574="Yes",Sum!$G574="Fees",Sum!K$548=J$5),Sum!K574,0)</f>
        <v>0</v>
      </c>
      <c r="K118" s="13">
        <f>IF(AND(Sum!$F574="Yes",Sum!$G574="Fees",Sum!L$548=K$5),Sum!L574,0)</f>
        <v>0</v>
      </c>
      <c r="L118" s="13">
        <f>IF(AND(Sum!$F574="Yes",Sum!$G574="Fees",Sum!M$548=L$5),Sum!M574,0)</f>
        <v>0</v>
      </c>
      <c r="M118" s="13">
        <f>IF(AND(Sum!$F574="Yes",Sum!$G574="Fees",Sum!N$548=M$5),Sum!N574,0)</f>
        <v>0</v>
      </c>
      <c r="N118" s="13">
        <f>IF(AND(Sum!$F574="Yes",Sum!$G574="Fees",Sum!O$548=N$5),Sum!O574,0)</f>
        <v>0</v>
      </c>
      <c r="O118" s="13">
        <f>IF(AND(Sum!$F574="Yes",Sum!$G574="Fees",Sum!P$548=O$5),Sum!P574,0)</f>
        <v>0</v>
      </c>
      <c r="P118" s="13">
        <f>IF(AND(Sum!$F574="Yes",Sum!$G574="Fees",Sum!Q$548=P$5),Sum!Q574,0)</f>
        <v>0</v>
      </c>
      <c r="Q118" s="264" t="str">
        <f>IF(AND(Sum!$F574="Yes",Sum!$G574="Fees"),Sum!$E574,"")</f>
        <v/>
      </c>
    </row>
    <row r="119" spans="1:17" ht="12.75" customHeight="1" x14ac:dyDescent="0.25">
      <c r="A119" s="18"/>
      <c r="B119" s="306" t="str">
        <f>IF(AND(Sum!$F575="Yes",Sum!$G575="Fees"),Sum!$B575,"")</f>
        <v/>
      </c>
      <c r="C119" s="3"/>
      <c r="D119" s="3"/>
      <c r="E119" s="13"/>
      <c r="F119" s="13"/>
      <c r="G119" s="153">
        <f>IF(AND(Sum!$F575="Yes",Sum!$G575="Fees",Sum!H$548=G$5),Sum!H575,0)</f>
        <v>0</v>
      </c>
      <c r="H119" s="13">
        <f>IF(AND(Sum!$F575="Yes",Sum!$G575="Fees",Sum!I$548=H$5),Sum!I575,0)</f>
        <v>0</v>
      </c>
      <c r="I119" s="13">
        <f>IF(AND(Sum!$F575="Yes",Sum!$G575="Fees",Sum!J$548=I$5),Sum!J575,0)</f>
        <v>0</v>
      </c>
      <c r="J119" s="13">
        <f>IF(AND(Sum!$F575="Yes",Sum!$G575="Fees",Sum!K$548=J$5),Sum!K575,0)</f>
        <v>0</v>
      </c>
      <c r="K119" s="13">
        <f>IF(AND(Sum!$F575="Yes",Sum!$G575="Fees",Sum!L$548=K$5),Sum!L575,0)</f>
        <v>0</v>
      </c>
      <c r="L119" s="13">
        <f>IF(AND(Sum!$F575="Yes",Sum!$G575="Fees",Sum!M$548=L$5),Sum!M575,0)</f>
        <v>0</v>
      </c>
      <c r="M119" s="13">
        <f>IF(AND(Sum!$F575="Yes",Sum!$G575="Fees",Sum!N$548=M$5),Sum!N575,0)</f>
        <v>0</v>
      </c>
      <c r="N119" s="13">
        <f>IF(AND(Sum!$F575="Yes",Sum!$G575="Fees",Sum!O$548=N$5),Sum!O575,0)</f>
        <v>0</v>
      </c>
      <c r="O119" s="13">
        <f>IF(AND(Sum!$F575="Yes",Sum!$G575="Fees",Sum!P$548=O$5),Sum!P575,0)</f>
        <v>0</v>
      </c>
      <c r="P119" s="13">
        <f>IF(AND(Sum!$F575="Yes",Sum!$G575="Fees",Sum!Q$548=P$5),Sum!Q575,0)</f>
        <v>0</v>
      </c>
      <c r="Q119" s="264" t="str">
        <f>IF(AND(Sum!$F575="Yes",Sum!$G575="Fees"),Sum!$E575,"")</f>
        <v/>
      </c>
    </row>
    <row r="120" spans="1:17" ht="12.75" customHeight="1" x14ac:dyDescent="0.25">
      <c r="A120" s="18"/>
      <c r="B120" s="306" t="str">
        <f>IF(AND(Sum!$F576="Yes",Sum!$G576="Fees"),Sum!$B576,"")</f>
        <v/>
      </c>
      <c r="C120" s="3"/>
      <c r="D120" s="3"/>
      <c r="E120" s="13"/>
      <c r="F120" s="13"/>
      <c r="G120" s="153">
        <f>IF(AND(Sum!$F576="Yes",Sum!$G576="Fees",Sum!H$548=G$5),Sum!H576,0)</f>
        <v>0</v>
      </c>
      <c r="H120" s="13">
        <f>IF(AND(Sum!$F576="Yes",Sum!$G576="Fees",Sum!I$548=H$5),Sum!I576,0)</f>
        <v>0</v>
      </c>
      <c r="I120" s="13">
        <f>IF(AND(Sum!$F576="Yes",Sum!$G576="Fees",Sum!J$548=I$5),Sum!J576,0)</f>
        <v>0</v>
      </c>
      <c r="J120" s="13">
        <f>IF(AND(Sum!$F576="Yes",Sum!$G576="Fees",Sum!K$548=J$5),Sum!K576,0)</f>
        <v>0</v>
      </c>
      <c r="K120" s="13">
        <f>IF(AND(Sum!$F576="Yes",Sum!$G576="Fees",Sum!L$548=K$5),Sum!L576,0)</f>
        <v>0</v>
      </c>
      <c r="L120" s="13">
        <f>IF(AND(Sum!$F576="Yes",Sum!$G576="Fees",Sum!M$548=L$5),Sum!M576,0)</f>
        <v>0</v>
      </c>
      <c r="M120" s="13">
        <f>IF(AND(Sum!$F576="Yes",Sum!$G576="Fees",Sum!N$548=M$5),Sum!N576,0)</f>
        <v>0</v>
      </c>
      <c r="N120" s="13">
        <f>IF(AND(Sum!$F576="Yes",Sum!$G576="Fees",Sum!O$548=N$5),Sum!O576,0)</f>
        <v>0</v>
      </c>
      <c r="O120" s="13">
        <f>IF(AND(Sum!$F576="Yes",Sum!$G576="Fees",Sum!P$548=O$5),Sum!P576,0)</f>
        <v>0</v>
      </c>
      <c r="P120" s="13">
        <f>IF(AND(Sum!$F576="Yes",Sum!$G576="Fees",Sum!Q$548=P$5),Sum!Q576,0)</f>
        <v>0</v>
      </c>
      <c r="Q120" s="264" t="str">
        <f>IF(AND(Sum!$F576="Yes",Sum!$G576="Fees"),Sum!$E576,"")</f>
        <v/>
      </c>
    </row>
    <row r="121" spans="1:17" ht="12.75" customHeight="1" x14ac:dyDescent="0.25">
      <c r="A121" s="18"/>
      <c r="B121" s="306" t="str">
        <f>IF(AND(Sum!$F577="Yes",Sum!$G577="Fees"),Sum!$B577,"")</f>
        <v/>
      </c>
      <c r="C121" s="3"/>
      <c r="D121" s="3"/>
      <c r="E121" s="13"/>
      <c r="F121" s="13"/>
      <c r="G121" s="153">
        <f>IF(AND(Sum!$F577="Yes",Sum!$G577="Fees",Sum!H$548=G$5),Sum!H577,0)</f>
        <v>0</v>
      </c>
      <c r="H121" s="13">
        <f>IF(AND(Sum!$F577="Yes",Sum!$G577="Fees",Sum!I$548=H$5),Sum!I577,0)</f>
        <v>0</v>
      </c>
      <c r="I121" s="13">
        <f>IF(AND(Sum!$F577="Yes",Sum!$G577="Fees",Sum!J$548=I$5),Sum!J577,0)</f>
        <v>0</v>
      </c>
      <c r="J121" s="13">
        <f>IF(AND(Sum!$F577="Yes",Sum!$G577="Fees",Sum!K$548=J$5),Sum!K577,0)</f>
        <v>0</v>
      </c>
      <c r="K121" s="13">
        <f>IF(AND(Sum!$F577="Yes",Sum!$G577="Fees",Sum!L$548=K$5),Sum!L577,0)</f>
        <v>0</v>
      </c>
      <c r="L121" s="13">
        <f>IF(AND(Sum!$F577="Yes",Sum!$G577="Fees",Sum!M$548=L$5),Sum!M577,0)</f>
        <v>0</v>
      </c>
      <c r="M121" s="13">
        <f>IF(AND(Sum!$F577="Yes",Sum!$G577="Fees",Sum!N$548=M$5),Sum!N577,0)</f>
        <v>0</v>
      </c>
      <c r="N121" s="13">
        <f>IF(AND(Sum!$F577="Yes",Sum!$G577="Fees",Sum!O$548=N$5),Sum!O577,0)</f>
        <v>0</v>
      </c>
      <c r="O121" s="13">
        <f>IF(AND(Sum!$F577="Yes",Sum!$G577="Fees",Sum!P$548=O$5),Sum!P577,0)</f>
        <v>0</v>
      </c>
      <c r="P121" s="13">
        <f>IF(AND(Sum!$F577="Yes",Sum!$G577="Fees",Sum!Q$548=P$5),Sum!Q577,0)</f>
        <v>0</v>
      </c>
      <c r="Q121" s="264" t="str">
        <f>IF(AND(Sum!$F577="Yes",Sum!$G577="Fees"),Sum!$E577,"")</f>
        <v/>
      </c>
    </row>
    <row r="122" spans="1:17" ht="12.75" customHeight="1" x14ac:dyDescent="0.25">
      <c r="A122" s="18"/>
      <c r="B122" s="306" t="str">
        <f>IF(AND(Sum!$F578="Yes",Sum!$G578="Fees"),Sum!$B578,"")</f>
        <v/>
      </c>
      <c r="C122" s="3"/>
      <c r="D122" s="3"/>
      <c r="E122" s="13"/>
      <c r="F122" s="13"/>
      <c r="G122" s="153">
        <f>IF(AND(Sum!$F578="Yes",Sum!$G578="Fees",Sum!H$548=G$5),Sum!H578,0)</f>
        <v>0</v>
      </c>
      <c r="H122" s="13">
        <f>IF(AND(Sum!$F578="Yes",Sum!$G578="Fees",Sum!I$548=H$5),Sum!I578,0)</f>
        <v>0</v>
      </c>
      <c r="I122" s="13">
        <f>IF(AND(Sum!$F578="Yes",Sum!$G578="Fees",Sum!J$548=I$5),Sum!J578,0)</f>
        <v>0</v>
      </c>
      <c r="J122" s="13">
        <f>IF(AND(Sum!$F578="Yes",Sum!$G578="Fees",Sum!K$548=J$5),Sum!K578,0)</f>
        <v>0</v>
      </c>
      <c r="K122" s="13">
        <f>IF(AND(Sum!$F578="Yes",Sum!$G578="Fees",Sum!L$548=K$5),Sum!L578,0)</f>
        <v>0</v>
      </c>
      <c r="L122" s="13">
        <f>IF(AND(Sum!$F578="Yes",Sum!$G578="Fees",Sum!M$548=L$5),Sum!M578,0)</f>
        <v>0</v>
      </c>
      <c r="M122" s="13">
        <f>IF(AND(Sum!$F578="Yes",Sum!$G578="Fees",Sum!N$548=M$5),Sum!N578,0)</f>
        <v>0</v>
      </c>
      <c r="N122" s="13">
        <f>IF(AND(Sum!$F578="Yes",Sum!$G578="Fees",Sum!O$548=N$5),Sum!O578,0)</f>
        <v>0</v>
      </c>
      <c r="O122" s="13">
        <f>IF(AND(Sum!$F578="Yes",Sum!$G578="Fees",Sum!P$548=O$5),Sum!P578,0)</f>
        <v>0</v>
      </c>
      <c r="P122" s="13">
        <f>IF(AND(Sum!$F578="Yes",Sum!$G578="Fees",Sum!Q$548=P$5),Sum!Q578,0)</f>
        <v>0</v>
      </c>
      <c r="Q122" s="264" t="str">
        <f>IF(AND(Sum!$F578="Yes",Sum!$G578="Fees"),Sum!$E578,"")</f>
        <v/>
      </c>
    </row>
    <row r="123" spans="1:17" ht="12.75" customHeight="1" x14ac:dyDescent="0.25">
      <c r="A123" s="18"/>
      <c r="B123" s="306" t="str">
        <f>IF(AND(Sum!$F579="Yes",Sum!$G579="Fees"),Sum!$B579,"")</f>
        <v/>
      </c>
      <c r="C123" s="3"/>
      <c r="D123" s="3"/>
      <c r="E123" s="13"/>
      <c r="F123" s="13"/>
      <c r="G123" s="153">
        <f>IF(AND(Sum!$F579="Yes",Sum!$G579="Fees",Sum!H$548=G$5),Sum!H579,0)</f>
        <v>0</v>
      </c>
      <c r="H123" s="13">
        <f>IF(AND(Sum!$F579="Yes",Sum!$G579="Fees",Sum!I$548=H$5),Sum!I579,0)</f>
        <v>0</v>
      </c>
      <c r="I123" s="13">
        <f>IF(AND(Sum!$F579="Yes",Sum!$G579="Fees",Sum!J$548=I$5),Sum!J579,0)</f>
        <v>0</v>
      </c>
      <c r="J123" s="13">
        <f>IF(AND(Sum!$F579="Yes",Sum!$G579="Fees",Sum!K$548=J$5),Sum!K579,0)</f>
        <v>0</v>
      </c>
      <c r="K123" s="13">
        <f>IF(AND(Sum!$F579="Yes",Sum!$G579="Fees",Sum!L$548=K$5),Sum!L579,0)</f>
        <v>0</v>
      </c>
      <c r="L123" s="13">
        <f>IF(AND(Sum!$F579="Yes",Sum!$G579="Fees",Sum!M$548=L$5),Sum!M579,0)</f>
        <v>0</v>
      </c>
      <c r="M123" s="13">
        <f>IF(AND(Sum!$F579="Yes",Sum!$G579="Fees",Sum!N$548=M$5),Sum!N579,0)</f>
        <v>0</v>
      </c>
      <c r="N123" s="13">
        <f>IF(AND(Sum!$F579="Yes",Sum!$G579="Fees",Sum!O$548=N$5),Sum!O579,0)</f>
        <v>0</v>
      </c>
      <c r="O123" s="13">
        <f>IF(AND(Sum!$F579="Yes",Sum!$G579="Fees",Sum!P$548=O$5),Sum!P579,0)</f>
        <v>0</v>
      </c>
      <c r="P123" s="13">
        <f>IF(AND(Sum!$F579="Yes",Sum!$G579="Fees",Sum!Q$548=P$5),Sum!Q579,0)</f>
        <v>0</v>
      </c>
      <c r="Q123" s="264" t="str">
        <f>IF(AND(Sum!$F579="Yes",Sum!$G579="Fees"),Sum!$E579,"")</f>
        <v/>
      </c>
    </row>
    <row r="124" spans="1:17" ht="12.75" customHeight="1" x14ac:dyDescent="0.25">
      <c r="A124" s="18"/>
      <c r="B124" s="306" t="str">
        <f>IF(AND(Sum!$F580="Yes",Sum!$G580="Fees"),Sum!$B580,"")</f>
        <v/>
      </c>
      <c r="C124" s="3"/>
      <c r="D124" s="3"/>
      <c r="E124" s="13"/>
      <c r="F124" s="13"/>
      <c r="G124" s="153">
        <f>IF(AND(Sum!$F580="Yes",Sum!$G580="Fees",Sum!H$548=G$5),Sum!H580,0)</f>
        <v>0</v>
      </c>
      <c r="H124" s="13">
        <f>IF(AND(Sum!$F580="Yes",Sum!$G580="Fees",Sum!I$548=H$5),Sum!I580,0)</f>
        <v>0</v>
      </c>
      <c r="I124" s="13">
        <f>IF(AND(Sum!$F580="Yes",Sum!$G580="Fees",Sum!J$548=I$5),Sum!J580,0)</f>
        <v>0</v>
      </c>
      <c r="J124" s="13">
        <f>IF(AND(Sum!$F580="Yes",Sum!$G580="Fees",Sum!K$548=J$5),Sum!K580,0)</f>
        <v>0</v>
      </c>
      <c r="K124" s="13">
        <f>IF(AND(Sum!$F580="Yes",Sum!$G580="Fees",Sum!L$548=K$5),Sum!L580,0)</f>
        <v>0</v>
      </c>
      <c r="L124" s="13">
        <f>IF(AND(Sum!$F580="Yes",Sum!$G580="Fees",Sum!M$548=L$5),Sum!M580,0)</f>
        <v>0</v>
      </c>
      <c r="M124" s="13">
        <f>IF(AND(Sum!$F580="Yes",Sum!$G580="Fees",Sum!N$548=M$5),Sum!N580,0)</f>
        <v>0</v>
      </c>
      <c r="N124" s="13">
        <f>IF(AND(Sum!$F580="Yes",Sum!$G580="Fees",Sum!O$548=N$5),Sum!O580,0)</f>
        <v>0</v>
      </c>
      <c r="O124" s="13">
        <f>IF(AND(Sum!$F580="Yes",Sum!$G580="Fees",Sum!P$548=O$5),Sum!P580,0)</f>
        <v>0</v>
      </c>
      <c r="P124" s="13">
        <f>IF(AND(Sum!$F580="Yes",Sum!$G580="Fees",Sum!Q$548=P$5),Sum!Q580,0)</f>
        <v>0</v>
      </c>
      <c r="Q124" s="264" t="str">
        <f>IF(AND(Sum!$F580="Yes",Sum!$G580="Fees"),Sum!$E580,"")</f>
        <v/>
      </c>
    </row>
    <row r="125" spans="1:17" ht="12.75" customHeight="1" x14ac:dyDescent="0.25">
      <c r="A125" s="18"/>
      <c r="B125" s="306" t="str">
        <f>IF(AND(Sum!$F581="Yes",Sum!$G581="Fees"),Sum!$B581,"")</f>
        <v/>
      </c>
      <c r="C125" s="3"/>
      <c r="D125" s="3"/>
      <c r="E125" s="13"/>
      <c r="F125" s="13"/>
      <c r="G125" s="153">
        <f>IF(AND(Sum!$F581="Yes",Sum!$G581="Fees",Sum!H$548=G$5),Sum!H581,0)</f>
        <v>0</v>
      </c>
      <c r="H125" s="13">
        <f>IF(AND(Sum!$F581="Yes",Sum!$G581="Fees",Sum!I$548=H$5),Sum!I581,0)</f>
        <v>0</v>
      </c>
      <c r="I125" s="13">
        <f>IF(AND(Sum!$F581="Yes",Sum!$G581="Fees",Sum!J$548=I$5),Sum!J581,0)</f>
        <v>0</v>
      </c>
      <c r="J125" s="13">
        <f>IF(AND(Sum!$F581="Yes",Sum!$G581="Fees",Sum!K$548=J$5),Sum!K581,0)</f>
        <v>0</v>
      </c>
      <c r="K125" s="13">
        <f>IF(AND(Sum!$F581="Yes",Sum!$G581="Fees",Sum!L$548=K$5),Sum!L581,0)</f>
        <v>0</v>
      </c>
      <c r="L125" s="13">
        <f>IF(AND(Sum!$F581="Yes",Sum!$G581="Fees",Sum!M$548=L$5),Sum!M581,0)</f>
        <v>0</v>
      </c>
      <c r="M125" s="13">
        <f>IF(AND(Sum!$F581="Yes",Sum!$G581="Fees",Sum!N$548=M$5),Sum!N581,0)</f>
        <v>0</v>
      </c>
      <c r="N125" s="13">
        <f>IF(AND(Sum!$F581="Yes",Sum!$G581="Fees",Sum!O$548=N$5),Sum!O581,0)</f>
        <v>0</v>
      </c>
      <c r="O125" s="13">
        <f>IF(AND(Sum!$F581="Yes",Sum!$G581="Fees",Sum!P$548=O$5),Sum!P581,0)</f>
        <v>0</v>
      </c>
      <c r="P125" s="13">
        <f>IF(AND(Sum!$F581="Yes",Sum!$G581="Fees",Sum!Q$548=P$5),Sum!Q581,0)</f>
        <v>0</v>
      </c>
      <c r="Q125" s="264" t="str">
        <f>IF(AND(Sum!$F581="Yes",Sum!$G581="Fees"),Sum!$E581,"")</f>
        <v/>
      </c>
    </row>
    <row r="126" spans="1:17" ht="12.75" customHeight="1" x14ac:dyDescent="0.25">
      <c r="A126" s="18"/>
      <c r="B126" s="306" t="str">
        <f>IF(AND(Sum!$F582="Yes",Sum!$G582="Fees"),Sum!$B582,"")</f>
        <v/>
      </c>
      <c r="C126" s="74"/>
      <c r="D126" s="74"/>
      <c r="E126" s="13"/>
      <c r="F126" s="13"/>
      <c r="G126" s="153">
        <f>IF(AND(Sum!$F582="Yes",Sum!$G582="Fees",Sum!H$548=G$5),Sum!H582,0)</f>
        <v>0</v>
      </c>
      <c r="H126" s="13">
        <f>IF(AND(Sum!$F582="Yes",Sum!$G582="Fees",Sum!I$548=H$5),Sum!I582,0)</f>
        <v>0</v>
      </c>
      <c r="I126" s="13">
        <f>IF(AND(Sum!$F582="Yes",Sum!$G582="Fees",Sum!J$548=I$5),Sum!J582,0)</f>
        <v>0</v>
      </c>
      <c r="J126" s="13">
        <f>IF(AND(Sum!$F582="Yes",Sum!$G582="Fees",Sum!K$548=J$5),Sum!K582,0)</f>
        <v>0</v>
      </c>
      <c r="K126" s="13">
        <f>IF(AND(Sum!$F582="Yes",Sum!$G582="Fees",Sum!L$548=K$5),Sum!L582,0)</f>
        <v>0</v>
      </c>
      <c r="L126" s="13">
        <f>IF(AND(Sum!$F582="Yes",Sum!$G582="Fees",Sum!M$548=L$5),Sum!M582,0)</f>
        <v>0</v>
      </c>
      <c r="M126" s="13">
        <f>IF(AND(Sum!$F582="Yes",Sum!$G582="Fees",Sum!N$548=M$5),Sum!N582,0)</f>
        <v>0</v>
      </c>
      <c r="N126" s="13">
        <f>IF(AND(Sum!$F582="Yes",Sum!$G582="Fees",Sum!O$548=N$5),Sum!O582,0)</f>
        <v>0</v>
      </c>
      <c r="O126" s="13">
        <f>IF(AND(Sum!$F582="Yes",Sum!$G582="Fees",Sum!P$548=O$5),Sum!P582,0)</f>
        <v>0</v>
      </c>
      <c r="P126" s="13">
        <f>IF(AND(Sum!$F582="Yes",Sum!$G582="Fees",Sum!Q$548=P$5),Sum!Q582,0)</f>
        <v>0</v>
      </c>
      <c r="Q126" s="264" t="str">
        <f>IF(AND(Sum!$F582="Yes",Sum!$G582="Fees"),Sum!$E582,"")</f>
        <v/>
      </c>
    </row>
    <row r="127" spans="1:17" ht="12.75" customHeight="1" x14ac:dyDescent="0.25">
      <c r="A127" s="18"/>
      <c r="B127" s="306" t="str">
        <f>IF(AND(Sum!$F583="Yes",Sum!$G583="Fees"),Sum!$B583,"")</f>
        <v/>
      </c>
      <c r="C127" s="74"/>
      <c r="D127" s="74"/>
      <c r="E127" s="13"/>
      <c r="F127" s="13"/>
      <c r="G127" s="153">
        <f>IF(AND(Sum!$F583="Yes",Sum!$G583="Fees",Sum!H$548=G$5),Sum!H583,0)</f>
        <v>0</v>
      </c>
      <c r="H127" s="13">
        <f>IF(AND(Sum!$F583="Yes",Sum!$G583="Fees",Sum!I$548=H$5),Sum!I583,0)</f>
        <v>0</v>
      </c>
      <c r="I127" s="13">
        <f>IF(AND(Sum!$F583="Yes",Sum!$G583="Fees",Sum!J$548=I$5),Sum!J583,0)</f>
        <v>0</v>
      </c>
      <c r="J127" s="13">
        <f>IF(AND(Sum!$F583="Yes",Sum!$G583="Fees",Sum!K$548=J$5),Sum!K583,0)</f>
        <v>0</v>
      </c>
      <c r="K127" s="13">
        <f>IF(AND(Sum!$F583="Yes",Sum!$G583="Fees",Sum!L$548=K$5),Sum!L583,0)</f>
        <v>0</v>
      </c>
      <c r="L127" s="13">
        <f>IF(AND(Sum!$F583="Yes",Sum!$G583="Fees",Sum!M$548=L$5),Sum!M583,0)</f>
        <v>0</v>
      </c>
      <c r="M127" s="13">
        <f>IF(AND(Sum!$F583="Yes",Sum!$G583="Fees",Sum!N$548=M$5),Sum!N583,0)</f>
        <v>0</v>
      </c>
      <c r="N127" s="13">
        <f>IF(AND(Sum!$F583="Yes",Sum!$G583="Fees",Sum!O$548=N$5),Sum!O583,0)</f>
        <v>0</v>
      </c>
      <c r="O127" s="13">
        <f>IF(AND(Sum!$F583="Yes",Sum!$G583="Fees",Sum!P$548=O$5),Sum!P583,0)</f>
        <v>0</v>
      </c>
      <c r="P127" s="13">
        <f>IF(AND(Sum!$F583="Yes",Sum!$G583="Fees",Sum!Q$548=P$5),Sum!Q583,0)</f>
        <v>0</v>
      </c>
      <c r="Q127" s="264" t="str">
        <f>IF(AND(Sum!$F583="Yes",Sum!$G583="Fees"),Sum!$E583,"")</f>
        <v/>
      </c>
    </row>
    <row r="128" spans="1:17" ht="12.75" customHeight="1" x14ac:dyDescent="0.25">
      <c r="A128" s="18"/>
      <c r="B128" s="306" t="str">
        <f>IF(AND(Sum!$F584="Yes",Sum!$G584="Fees"),Sum!$B584,"")</f>
        <v/>
      </c>
      <c r="C128" s="3"/>
      <c r="D128" s="3"/>
      <c r="E128" s="13"/>
      <c r="F128" s="13"/>
      <c r="G128" s="153">
        <f>IF(AND(Sum!$F584="Yes",Sum!$G584="Fees",Sum!H$548=G$5),Sum!H584,0)</f>
        <v>0</v>
      </c>
      <c r="H128" s="13">
        <f>IF(AND(Sum!$F584="Yes",Sum!$G584="Fees",Sum!I$548=H$5),Sum!I584,0)</f>
        <v>0</v>
      </c>
      <c r="I128" s="13">
        <f>IF(AND(Sum!$F584="Yes",Sum!$G584="Fees",Sum!J$548=I$5),Sum!J584,0)</f>
        <v>0</v>
      </c>
      <c r="J128" s="13">
        <f>IF(AND(Sum!$F584="Yes",Sum!$G584="Fees",Sum!K$548=J$5),Sum!K584,0)</f>
        <v>0</v>
      </c>
      <c r="K128" s="13">
        <f>IF(AND(Sum!$F584="Yes",Sum!$G584="Fees",Sum!L$548=K$5),Sum!L584,0)</f>
        <v>0</v>
      </c>
      <c r="L128" s="13">
        <f>IF(AND(Sum!$F584="Yes",Sum!$G584="Fees",Sum!M$548=L$5),Sum!M584,0)</f>
        <v>0</v>
      </c>
      <c r="M128" s="13">
        <f>IF(AND(Sum!$F584="Yes",Sum!$G584="Fees",Sum!N$548=M$5),Sum!N584,0)</f>
        <v>0</v>
      </c>
      <c r="N128" s="13">
        <f>IF(AND(Sum!$F584="Yes",Sum!$G584="Fees",Sum!O$548=N$5),Sum!O584,0)</f>
        <v>0</v>
      </c>
      <c r="O128" s="13">
        <f>IF(AND(Sum!$F584="Yes",Sum!$G584="Fees",Sum!P$548=O$5),Sum!P584,0)</f>
        <v>0</v>
      </c>
      <c r="P128" s="13">
        <f>IF(AND(Sum!$F584="Yes",Sum!$G584="Fees",Sum!Q$548=P$5),Sum!Q584,0)</f>
        <v>0</v>
      </c>
      <c r="Q128" s="264" t="str">
        <f>IF(AND(Sum!$F584="Yes",Sum!$G584="Fees"),Sum!$E584,"")</f>
        <v/>
      </c>
    </row>
    <row r="129" spans="1:17" ht="12.75" customHeight="1" x14ac:dyDescent="0.25">
      <c r="A129" s="18"/>
      <c r="B129" s="306" t="str">
        <f>IF(AND(Sum!$F585="Yes",Sum!$G585="Fees"),Sum!$B585,"")</f>
        <v/>
      </c>
      <c r="C129" s="3"/>
      <c r="D129" s="3"/>
      <c r="E129" s="13"/>
      <c r="F129" s="13"/>
      <c r="G129" s="153">
        <f>IF(AND(Sum!$F585="Yes",Sum!$G585="Fees",Sum!H$548=G$5),Sum!H585,0)</f>
        <v>0</v>
      </c>
      <c r="H129" s="13">
        <f>IF(AND(Sum!$F585="Yes",Sum!$G585="Fees",Sum!I$548=H$5),Sum!I585,0)</f>
        <v>0</v>
      </c>
      <c r="I129" s="13">
        <f>IF(AND(Sum!$F585="Yes",Sum!$G585="Fees",Sum!J$548=I$5),Sum!J585,0)</f>
        <v>0</v>
      </c>
      <c r="J129" s="13">
        <f>IF(AND(Sum!$F585="Yes",Sum!$G585="Fees",Sum!K$548=J$5),Sum!K585,0)</f>
        <v>0</v>
      </c>
      <c r="K129" s="13">
        <f>IF(AND(Sum!$F585="Yes",Sum!$G585="Fees",Sum!L$548=K$5),Sum!L585,0)</f>
        <v>0</v>
      </c>
      <c r="L129" s="13">
        <f>IF(AND(Sum!$F585="Yes",Sum!$G585="Fees",Sum!M$548=L$5),Sum!M585,0)</f>
        <v>0</v>
      </c>
      <c r="M129" s="13">
        <f>IF(AND(Sum!$F585="Yes",Sum!$G585="Fees",Sum!N$548=M$5),Sum!N585,0)</f>
        <v>0</v>
      </c>
      <c r="N129" s="13">
        <f>IF(AND(Sum!$F585="Yes",Sum!$G585="Fees",Sum!O$548=N$5),Sum!O585,0)</f>
        <v>0</v>
      </c>
      <c r="O129" s="13">
        <f>IF(AND(Sum!$F585="Yes",Sum!$G585="Fees",Sum!P$548=O$5),Sum!P585,0)</f>
        <v>0</v>
      </c>
      <c r="P129" s="13">
        <f>IF(AND(Sum!$F585="Yes",Sum!$G585="Fees",Sum!Q$548=P$5),Sum!Q585,0)</f>
        <v>0</v>
      </c>
      <c r="Q129" s="264" t="str">
        <f>IF(AND(Sum!$F585="Yes",Sum!$G585="Fees"),Sum!$E585,"")</f>
        <v/>
      </c>
    </row>
    <row r="130" spans="1:17" ht="12.75" customHeight="1" x14ac:dyDescent="0.25">
      <c r="A130" s="18"/>
      <c r="B130" s="306" t="str">
        <f>IF(AND(Sum!$F586="Yes",Sum!$G586="Fees"),Sum!$B586,"")</f>
        <v/>
      </c>
      <c r="C130" s="3"/>
      <c r="D130" s="3"/>
      <c r="E130" s="13"/>
      <c r="F130" s="13"/>
      <c r="G130" s="153">
        <f>IF(AND(Sum!$F586="Yes",Sum!$G586="Fees",Sum!H$548=G$5),Sum!H586,0)</f>
        <v>0</v>
      </c>
      <c r="H130" s="13">
        <f>IF(AND(Sum!$F586="Yes",Sum!$G586="Fees",Sum!I$548=H$5),Sum!I586,0)</f>
        <v>0</v>
      </c>
      <c r="I130" s="13">
        <f>IF(AND(Sum!$F586="Yes",Sum!$G586="Fees",Sum!J$548=I$5),Sum!J586,0)</f>
        <v>0</v>
      </c>
      <c r="J130" s="13">
        <f>IF(AND(Sum!$F586="Yes",Sum!$G586="Fees",Sum!K$548=J$5),Sum!K586,0)</f>
        <v>0</v>
      </c>
      <c r="K130" s="13">
        <f>IF(AND(Sum!$F586="Yes",Sum!$G586="Fees",Sum!L$548=K$5),Sum!L586,0)</f>
        <v>0</v>
      </c>
      <c r="L130" s="13">
        <f>IF(AND(Sum!$F586="Yes",Sum!$G586="Fees",Sum!M$548=L$5),Sum!M586,0)</f>
        <v>0</v>
      </c>
      <c r="M130" s="13">
        <f>IF(AND(Sum!$F586="Yes",Sum!$G586="Fees",Sum!N$548=M$5),Sum!N586,0)</f>
        <v>0</v>
      </c>
      <c r="N130" s="13">
        <f>IF(AND(Sum!$F586="Yes",Sum!$G586="Fees",Sum!O$548=N$5),Sum!O586,0)</f>
        <v>0</v>
      </c>
      <c r="O130" s="13">
        <f>IF(AND(Sum!$F586="Yes",Sum!$G586="Fees",Sum!P$548=O$5),Sum!P586,0)</f>
        <v>0</v>
      </c>
      <c r="P130" s="13">
        <f>IF(AND(Sum!$F586="Yes",Sum!$G586="Fees",Sum!Q$548=P$5),Sum!Q586,0)</f>
        <v>0</v>
      </c>
      <c r="Q130" s="264" t="str">
        <f>IF(AND(Sum!$F586="Yes",Sum!$G586="Fees"),Sum!$E586,"")</f>
        <v/>
      </c>
    </row>
    <row r="131" spans="1:17" ht="12.75" customHeight="1" x14ac:dyDescent="0.25">
      <c r="A131" s="18"/>
      <c r="B131" s="306" t="str">
        <f>IF(AND(Sum!$F587="Yes",Sum!$G587="Fees"),Sum!$B587,"")</f>
        <v/>
      </c>
      <c r="C131" s="3"/>
      <c r="D131" s="3"/>
      <c r="E131" s="13"/>
      <c r="F131" s="13"/>
      <c r="G131" s="153">
        <f>IF(AND(Sum!$F587="Yes",Sum!$G587="Fees",Sum!H$548=G$5),Sum!H587,0)</f>
        <v>0</v>
      </c>
      <c r="H131" s="13">
        <f>IF(AND(Sum!$F587="Yes",Sum!$G587="Fees",Sum!I$548=H$5),Sum!I587,0)</f>
        <v>0</v>
      </c>
      <c r="I131" s="13">
        <f>IF(AND(Sum!$F587="Yes",Sum!$G587="Fees",Sum!J$548=I$5),Sum!J587,0)</f>
        <v>0</v>
      </c>
      <c r="J131" s="13">
        <f>IF(AND(Sum!$F587="Yes",Sum!$G587="Fees",Sum!K$548=J$5),Sum!K587,0)</f>
        <v>0</v>
      </c>
      <c r="K131" s="13">
        <f>IF(AND(Sum!$F587="Yes",Sum!$G587="Fees",Sum!L$548=K$5),Sum!L587,0)</f>
        <v>0</v>
      </c>
      <c r="L131" s="13">
        <f>IF(AND(Sum!$F587="Yes",Sum!$G587="Fees",Sum!M$548=L$5),Sum!M587,0)</f>
        <v>0</v>
      </c>
      <c r="M131" s="13">
        <f>IF(AND(Sum!$F587="Yes",Sum!$G587="Fees",Sum!N$548=M$5),Sum!N587,0)</f>
        <v>0</v>
      </c>
      <c r="N131" s="13">
        <f>IF(AND(Sum!$F587="Yes",Sum!$G587="Fees",Sum!O$548=N$5),Sum!O587,0)</f>
        <v>0</v>
      </c>
      <c r="O131" s="13">
        <f>IF(AND(Sum!$F587="Yes",Sum!$G587="Fees",Sum!P$548=O$5),Sum!P587,0)</f>
        <v>0</v>
      </c>
      <c r="P131" s="13">
        <f>IF(AND(Sum!$F587="Yes",Sum!$G587="Fees",Sum!Q$548=P$5),Sum!Q587,0)</f>
        <v>0</v>
      </c>
      <c r="Q131" s="264" t="str">
        <f>IF(AND(Sum!$F587="Yes",Sum!$G587="Fees"),Sum!$E587,"")</f>
        <v/>
      </c>
    </row>
    <row r="132" spans="1:17" ht="12.75" customHeight="1" x14ac:dyDescent="0.25">
      <c r="A132" s="18"/>
      <c r="B132" s="306" t="str">
        <f>IF(AND(Sum!$F588="Yes",Sum!$G588="Fees"),Sum!$B588,"")</f>
        <v/>
      </c>
      <c r="C132" s="3"/>
      <c r="D132" s="3"/>
      <c r="E132" s="13"/>
      <c r="F132" s="13"/>
      <c r="G132" s="153">
        <f>IF(AND(Sum!$F588="Yes",Sum!$G588="Fees",Sum!H$548=G$5),Sum!H588,0)</f>
        <v>0</v>
      </c>
      <c r="H132" s="13">
        <f>IF(AND(Sum!$F588="Yes",Sum!$G588="Fees",Sum!I$548=H$5),Sum!I588,0)</f>
        <v>0</v>
      </c>
      <c r="I132" s="13">
        <f>IF(AND(Sum!$F588="Yes",Sum!$G588="Fees",Sum!J$548=I$5),Sum!J588,0)</f>
        <v>0</v>
      </c>
      <c r="J132" s="13">
        <f>IF(AND(Sum!$F588="Yes",Sum!$G588="Fees",Sum!K$548=J$5),Sum!K588,0)</f>
        <v>0</v>
      </c>
      <c r="K132" s="13">
        <f>IF(AND(Sum!$F588="Yes",Sum!$G588="Fees",Sum!L$548=K$5),Sum!L588,0)</f>
        <v>0</v>
      </c>
      <c r="L132" s="13">
        <f>IF(AND(Sum!$F588="Yes",Sum!$G588="Fees",Sum!M$548=L$5),Sum!M588,0)</f>
        <v>0</v>
      </c>
      <c r="M132" s="13">
        <f>IF(AND(Sum!$F588="Yes",Sum!$G588="Fees",Sum!N$548=M$5),Sum!N588,0)</f>
        <v>0</v>
      </c>
      <c r="N132" s="13">
        <f>IF(AND(Sum!$F588="Yes",Sum!$G588="Fees",Sum!O$548=N$5),Sum!O588,0)</f>
        <v>0</v>
      </c>
      <c r="O132" s="13">
        <f>IF(AND(Sum!$F588="Yes",Sum!$G588="Fees",Sum!P$548=O$5),Sum!P588,0)</f>
        <v>0</v>
      </c>
      <c r="P132" s="13">
        <f>IF(AND(Sum!$F588="Yes",Sum!$G588="Fees",Sum!Q$548=P$5),Sum!Q588,0)</f>
        <v>0</v>
      </c>
      <c r="Q132" s="264" t="str">
        <f>IF(AND(Sum!$F588="Yes",Sum!$G588="Fees"),Sum!$E588,"")</f>
        <v/>
      </c>
    </row>
    <row r="133" spans="1:17" ht="12.75" customHeight="1" x14ac:dyDescent="0.25">
      <c r="A133" s="18"/>
      <c r="B133" s="306" t="str">
        <f>IF(AND(Sum!$F589="Yes",Sum!$G589="Fees"),Sum!$B589,"")</f>
        <v/>
      </c>
      <c r="C133" s="3"/>
      <c r="D133" s="3"/>
      <c r="E133" s="13"/>
      <c r="F133" s="13"/>
      <c r="G133" s="153">
        <f>IF(AND(Sum!$F589="Yes",Sum!$G589="Fees",Sum!H$548=G$5),Sum!H589,0)</f>
        <v>0</v>
      </c>
      <c r="H133" s="13">
        <f>IF(AND(Sum!$F589="Yes",Sum!$G589="Fees",Sum!I$548=H$5),Sum!I589,0)</f>
        <v>0</v>
      </c>
      <c r="I133" s="13">
        <f>IF(AND(Sum!$F589="Yes",Sum!$G589="Fees",Sum!J$548=I$5),Sum!J589,0)</f>
        <v>0</v>
      </c>
      <c r="J133" s="13">
        <f>IF(AND(Sum!$F589="Yes",Sum!$G589="Fees",Sum!K$548=J$5),Sum!K589,0)</f>
        <v>0</v>
      </c>
      <c r="K133" s="13">
        <f>IF(AND(Sum!$F589="Yes",Sum!$G589="Fees",Sum!L$548=K$5),Sum!L589,0)</f>
        <v>0</v>
      </c>
      <c r="L133" s="13">
        <f>IF(AND(Sum!$F589="Yes",Sum!$G589="Fees",Sum!M$548=L$5),Sum!M589,0)</f>
        <v>0</v>
      </c>
      <c r="M133" s="13">
        <f>IF(AND(Sum!$F589="Yes",Sum!$G589="Fees",Sum!N$548=M$5),Sum!N589,0)</f>
        <v>0</v>
      </c>
      <c r="N133" s="13">
        <f>IF(AND(Sum!$F589="Yes",Sum!$G589="Fees",Sum!O$548=N$5),Sum!O589,0)</f>
        <v>0</v>
      </c>
      <c r="O133" s="13">
        <f>IF(AND(Sum!$F589="Yes",Sum!$G589="Fees",Sum!P$548=O$5),Sum!P589,0)</f>
        <v>0</v>
      </c>
      <c r="P133" s="13">
        <f>IF(AND(Sum!$F589="Yes",Sum!$G589="Fees",Sum!Q$548=P$5),Sum!Q589,0)</f>
        <v>0</v>
      </c>
      <c r="Q133" s="264" t="str">
        <f>IF(AND(Sum!$F589="Yes",Sum!$G589="Fees"),Sum!$E589,"")</f>
        <v/>
      </c>
    </row>
    <row r="134" spans="1:17" ht="12.75" customHeight="1" x14ac:dyDescent="0.25">
      <c r="A134" s="18"/>
      <c r="B134" s="306" t="str">
        <f>IF(AND(Sum!$F590="Yes",Sum!$G590="Fees"),Sum!$B590,"")</f>
        <v/>
      </c>
      <c r="C134" s="3"/>
      <c r="D134" s="3"/>
      <c r="E134" s="13"/>
      <c r="F134" s="13"/>
      <c r="G134" s="153">
        <f>IF(AND(Sum!$F590="Yes",Sum!$G590="Fees",Sum!H$548=G$5),Sum!H590,0)</f>
        <v>0</v>
      </c>
      <c r="H134" s="13">
        <f>IF(AND(Sum!$F590="Yes",Sum!$G590="Fees",Sum!I$548=H$5),Sum!I590,0)</f>
        <v>0</v>
      </c>
      <c r="I134" s="13">
        <f>IF(AND(Sum!$F590="Yes",Sum!$G590="Fees",Sum!J$548=I$5),Sum!J590,0)</f>
        <v>0</v>
      </c>
      <c r="J134" s="13">
        <f>IF(AND(Sum!$F590="Yes",Sum!$G590="Fees",Sum!K$548=J$5),Sum!K590,0)</f>
        <v>0</v>
      </c>
      <c r="K134" s="13">
        <f>IF(AND(Sum!$F590="Yes",Sum!$G590="Fees",Sum!L$548=K$5),Sum!L590,0)</f>
        <v>0</v>
      </c>
      <c r="L134" s="13">
        <f>IF(AND(Sum!$F590="Yes",Sum!$G590="Fees",Sum!M$548=L$5),Sum!M590,0)</f>
        <v>0</v>
      </c>
      <c r="M134" s="13">
        <f>IF(AND(Sum!$F590="Yes",Sum!$G590="Fees",Sum!N$548=M$5),Sum!N590,0)</f>
        <v>0</v>
      </c>
      <c r="N134" s="13">
        <f>IF(AND(Sum!$F590="Yes",Sum!$G590="Fees",Sum!O$548=N$5),Sum!O590,0)</f>
        <v>0</v>
      </c>
      <c r="O134" s="13">
        <f>IF(AND(Sum!$F590="Yes",Sum!$G590="Fees",Sum!P$548=O$5),Sum!P590,0)</f>
        <v>0</v>
      </c>
      <c r="P134" s="13">
        <f>IF(AND(Sum!$F590="Yes",Sum!$G590="Fees",Sum!Q$548=P$5),Sum!Q590,0)</f>
        <v>0</v>
      </c>
      <c r="Q134" s="264" t="str">
        <f>IF(AND(Sum!$F590="Yes",Sum!$G590="Fees"),Sum!$E590,"")</f>
        <v/>
      </c>
    </row>
    <row r="135" spans="1:17" ht="12.75" customHeight="1" x14ac:dyDescent="0.25">
      <c r="A135" s="18"/>
      <c r="B135" s="306" t="str">
        <f>IF(AND(Sum!$F591="Yes",Sum!$G591="Fees"),Sum!$B591,"")</f>
        <v/>
      </c>
      <c r="C135" s="3"/>
      <c r="D135" s="3"/>
      <c r="E135" s="13"/>
      <c r="F135" s="13"/>
      <c r="G135" s="153">
        <f>IF(AND(Sum!$F591="Yes",Sum!$G591="Fees",Sum!H$548=G$5),Sum!H591,0)</f>
        <v>0</v>
      </c>
      <c r="H135" s="13">
        <f>IF(AND(Sum!$F591="Yes",Sum!$G591="Fees",Sum!I$548=H$5),Sum!I591,0)</f>
        <v>0</v>
      </c>
      <c r="I135" s="13">
        <f>IF(AND(Sum!$F591="Yes",Sum!$G591="Fees",Sum!J$548=I$5),Sum!J591,0)</f>
        <v>0</v>
      </c>
      <c r="J135" s="13">
        <f>IF(AND(Sum!$F591="Yes",Sum!$G591="Fees",Sum!K$548=J$5),Sum!K591,0)</f>
        <v>0</v>
      </c>
      <c r="K135" s="13">
        <f>IF(AND(Sum!$F591="Yes",Sum!$G591="Fees",Sum!L$548=K$5),Sum!L591,0)</f>
        <v>0</v>
      </c>
      <c r="L135" s="13">
        <f>IF(AND(Sum!$F591="Yes",Sum!$G591="Fees",Sum!M$548=L$5),Sum!M591,0)</f>
        <v>0</v>
      </c>
      <c r="M135" s="13">
        <f>IF(AND(Sum!$F591="Yes",Sum!$G591="Fees",Sum!N$548=M$5),Sum!N591,0)</f>
        <v>0</v>
      </c>
      <c r="N135" s="13">
        <f>IF(AND(Sum!$F591="Yes",Sum!$G591="Fees",Sum!O$548=N$5),Sum!O591,0)</f>
        <v>0</v>
      </c>
      <c r="O135" s="13">
        <f>IF(AND(Sum!$F591="Yes",Sum!$G591="Fees",Sum!P$548=O$5),Sum!P591,0)</f>
        <v>0</v>
      </c>
      <c r="P135" s="13">
        <f>IF(AND(Sum!$F591="Yes",Sum!$G591="Fees",Sum!Q$548=P$5),Sum!Q591,0)</f>
        <v>0</v>
      </c>
      <c r="Q135" s="264" t="str">
        <f>IF(AND(Sum!$F591="Yes",Sum!$G591="Fees"),Sum!$E591,"")</f>
        <v/>
      </c>
    </row>
    <row r="136" spans="1:17" ht="12.75" customHeight="1" x14ac:dyDescent="0.25">
      <c r="A136" s="18"/>
      <c r="B136" s="306" t="str">
        <f>IF(AND(Sum!$F592="Yes",Sum!$G592="Fees"),Sum!$B592,"")</f>
        <v/>
      </c>
      <c r="C136" s="3"/>
      <c r="D136" s="3"/>
      <c r="E136" s="13"/>
      <c r="F136" s="13"/>
      <c r="G136" s="153">
        <f>IF(AND(Sum!$F592="Yes",Sum!$G592="Fees",Sum!H$548=G$5),Sum!H592,0)</f>
        <v>0</v>
      </c>
      <c r="H136" s="13">
        <f>IF(AND(Sum!$F592="Yes",Sum!$G592="Fees",Sum!I$548=H$5),Sum!I592,0)</f>
        <v>0</v>
      </c>
      <c r="I136" s="13">
        <f>IF(AND(Sum!$F592="Yes",Sum!$G592="Fees",Sum!J$548=I$5),Sum!J592,0)</f>
        <v>0</v>
      </c>
      <c r="J136" s="13">
        <f>IF(AND(Sum!$F592="Yes",Sum!$G592="Fees",Sum!K$548=J$5),Sum!K592,0)</f>
        <v>0</v>
      </c>
      <c r="K136" s="13">
        <f>IF(AND(Sum!$F592="Yes",Sum!$G592="Fees",Sum!L$548=K$5),Sum!L592,0)</f>
        <v>0</v>
      </c>
      <c r="L136" s="13">
        <f>IF(AND(Sum!$F592="Yes",Sum!$G592="Fees",Sum!M$548=L$5),Sum!M592,0)</f>
        <v>0</v>
      </c>
      <c r="M136" s="13">
        <f>IF(AND(Sum!$F592="Yes",Sum!$G592="Fees",Sum!N$548=M$5),Sum!N592,0)</f>
        <v>0</v>
      </c>
      <c r="N136" s="13">
        <f>IF(AND(Sum!$F592="Yes",Sum!$G592="Fees",Sum!O$548=N$5),Sum!O592,0)</f>
        <v>0</v>
      </c>
      <c r="O136" s="13">
        <f>IF(AND(Sum!$F592="Yes",Sum!$G592="Fees",Sum!P$548=O$5),Sum!P592,0)</f>
        <v>0</v>
      </c>
      <c r="P136" s="13">
        <f>IF(AND(Sum!$F592="Yes",Sum!$G592="Fees",Sum!Q$548=P$5),Sum!Q592,0)</f>
        <v>0</v>
      </c>
      <c r="Q136" s="264" t="str">
        <f>IF(AND(Sum!$F592="Yes",Sum!$G592="Fees"),Sum!$E592,"")</f>
        <v/>
      </c>
    </row>
    <row r="137" spans="1:17" ht="12.75" customHeight="1" x14ac:dyDescent="0.25">
      <c r="A137" s="18"/>
      <c r="B137" s="306" t="str">
        <f>IF(AND(Sum!$F593="Yes",Sum!$G593="Fees"),Sum!$B593,"")</f>
        <v/>
      </c>
      <c r="C137" s="3"/>
      <c r="D137" s="3"/>
      <c r="E137" s="13"/>
      <c r="F137" s="13"/>
      <c r="G137" s="153">
        <f>IF(AND(Sum!$F593="Yes",Sum!$G593="Fees",Sum!H$548=G$5),Sum!H593,0)</f>
        <v>0</v>
      </c>
      <c r="H137" s="13">
        <f>IF(AND(Sum!$F593="Yes",Sum!$G593="Fees",Sum!I$548=H$5),Sum!I593,0)</f>
        <v>0</v>
      </c>
      <c r="I137" s="13">
        <f>IF(AND(Sum!$F593="Yes",Sum!$G593="Fees",Sum!J$548=I$5),Sum!J593,0)</f>
        <v>0</v>
      </c>
      <c r="J137" s="13">
        <f>IF(AND(Sum!$F593="Yes",Sum!$G593="Fees",Sum!K$548=J$5),Sum!K593,0)</f>
        <v>0</v>
      </c>
      <c r="K137" s="13">
        <f>IF(AND(Sum!$F593="Yes",Sum!$G593="Fees",Sum!L$548=K$5),Sum!L593,0)</f>
        <v>0</v>
      </c>
      <c r="L137" s="13">
        <f>IF(AND(Sum!$F593="Yes",Sum!$G593="Fees",Sum!M$548=L$5),Sum!M593,0)</f>
        <v>0</v>
      </c>
      <c r="M137" s="13">
        <f>IF(AND(Sum!$F593="Yes",Sum!$G593="Fees",Sum!N$548=M$5),Sum!N593,0)</f>
        <v>0</v>
      </c>
      <c r="N137" s="13">
        <f>IF(AND(Sum!$F593="Yes",Sum!$G593="Fees",Sum!O$548=N$5),Sum!O593,0)</f>
        <v>0</v>
      </c>
      <c r="O137" s="13">
        <f>IF(AND(Sum!$F593="Yes",Sum!$G593="Fees",Sum!P$548=O$5),Sum!P593,0)</f>
        <v>0</v>
      </c>
      <c r="P137" s="13">
        <f>IF(AND(Sum!$F593="Yes",Sum!$G593="Fees",Sum!Q$548=P$5),Sum!Q593,0)</f>
        <v>0</v>
      </c>
      <c r="Q137" s="264" t="str">
        <f>IF(AND(Sum!$F593="Yes",Sum!$G593="Fees"),Sum!$E593,"")</f>
        <v/>
      </c>
    </row>
    <row r="138" spans="1:17" ht="12.75" customHeight="1" x14ac:dyDescent="0.25">
      <c r="A138" s="18"/>
      <c r="B138" s="306" t="str">
        <f>IF(AND(Sum!$F594="Yes",Sum!$G594="Fees"),Sum!$B594,"")</f>
        <v/>
      </c>
      <c r="C138" s="3"/>
      <c r="D138" s="3"/>
      <c r="E138" s="13"/>
      <c r="F138" s="13"/>
      <c r="G138" s="153">
        <f>IF(AND(Sum!$F594="Yes",Sum!$G594="Fees",Sum!H$548=G$5),Sum!H594,0)</f>
        <v>0</v>
      </c>
      <c r="H138" s="13">
        <f>IF(AND(Sum!$F594="Yes",Sum!$G594="Fees",Sum!I$548=H$5),Sum!I594,0)</f>
        <v>0</v>
      </c>
      <c r="I138" s="13">
        <f>IF(AND(Sum!$F594="Yes",Sum!$G594="Fees",Sum!J$548=I$5),Sum!J594,0)</f>
        <v>0</v>
      </c>
      <c r="J138" s="13">
        <f>IF(AND(Sum!$F594="Yes",Sum!$G594="Fees",Sum!K$548=J$5),Sum!K594,0)</f>
        <v>0</v>
      </c>
      <c r="K138" s="13">
        <f>IF(AND(Sum!$F594="Yes",Sum!$G594="Fees",Sum!L$548=K$5),Sum!L594,0)</f>
        <v>0</v>
      </c>
      <c r="L138" s="13">
        <f>IF(AND(Sum!$F594="Yes",Sum!$G594="Fees",Sum!M$548=L$5),Sum!M594,0)</f>
        <v>0</v>
      </c>
      <c r="M138" s="13">
        <f>IF(AND(Sum!$F594="Yes",Sum!$G594="Fees",Sum!N$548=M$5),Sum!N594,0)</f>
        <v>0</v>
      </c>
      <c r="N138" s="13">
        <f>IF(AND(Sum!$F594="Yes",Sum!$G594="Fees",Sum!O$548=N$5),Sum!O594,0)</f>
        <v>0</v>
      </c>
      <c r="O138" s="13">
        <f>IF(AND(Sum!$F594="Yes",Sum!$G594="Fees",Sum!P$548=O$5),Sum!P594,0)</f>
        <v>0</v>
      </c>
      <c r="P138" s="13">
        <f>IF(AND(Sum!$F594="Yes",Sum!$G594="Fees",Sum!Q$548=P$5),Sum!Q594,0)</f>
        <v>0</v>
      </c>
      <c r="Q138" s="264" t="str">
        <f>IF(AND(Sum!$F594="Yes",Sum!$G594="Fees"),Sum!$E594,"")</f>
        <v/>
      </c>
    </row>
    <row r="139" spans="1:17" ht="12.75" customHeight="1" x14ac:dyDescent="0.25">
      <c r="A139" s="18"/>
      <c r="B139" s="306" t="str">
        <f>IF(AND(Sum!$F595="Yes",Sum!$G595="Fees"),Sum!$B595,"")</f>
        <v/>
      </c>
      <c r="C139" s="3"/>
      <c r="D139" s="3"/>
      <c r="E139" s="13"/>
      <c r="F139" s="13"/>
      <c r="G139" s="153">
        <f>IF(AND(Sum!$F595="Yes",Sum!$G595="Fees",Sum!H$548=G$5),Sum!H595,0)</f>
        <v>0</v>
      </c>
      <c r="H139" s="13">
        <f>IF(AND(Sum!$F595="Yes",Sum!$G595="Fees",Sum!I$548=H$5),Sum!I595,0)</f>
        <v>0</v>
      </c>
      <c r="I139" s="13">
        <f>IF(AND(Sum!$F595="Yes",Sum!$G595="Fees",Sum!J$548=I$5),Sum!J595,0)</f>
        <v>0</v>
      </c>
      <c r="J139" s="13">
        <f>IF(AND(Sum!$F595="Yes",Sum!$G595="Fees",Sum!K$548=J$5),Sum!K595,0)</f>
        <v>0</v>
      </c>
      <c r="K139" s="13">
        <f>IF(AND(Sum!$F595="Yes",Sum!$G595="Fees",Sum!L$548=K$5),Sum!L595,0)</f>
        <v>0</v>
      </c>
      <c r="L139" s="13">
        <f>IF(AND(Sum!$F595="Yes",Sum!$G595="Fees",Sum!M$548=L$5),Sum!M595,0)</f>
        <v>0</v>
      </c>
      <c r="M139" s="13">
        <f>IF(AND(Sum!$F595="Yes",Sum!$G595="Fees",Sum!N$548=M$5),Sum!N595,0)</f>
        <v>0</v>
      </c>
      <c r="N139" s="13">
        <f>IF(AND(Sum!$F595="Yes",Sum!$G595="Fees",Sum!O$548=N$5),Sum!O595,0)</f>
        <v>0</v>
      </c>
      <c r="O139" s="13">
        <f>IF(AND(Sum!$F595="Yes",Sum!$G595="Fees",Sum!P$548=O$5),Sum!P595,0)</f>
        <v>0</v>
      </c>
      <c r="P139" s="13">
        <f>IF(AND(Sum!$F595="Yes",Sum!$G595="Fees",Sum!Q$548=P$5),Sum!Q595,0)</f>
        <v>0</v>
      </c>
      <c r="Q139" s="264" t="str">
        <f>IF(AND(Sum!$F595="Yes",Sum!$G595="Fees"),Sum!$E595,"")</f>
        <v/>
      </c>
    </row>
    <row r="140" spans="1:17" ht="12.75" customHeight="1" x14ac:dyDescent="0.25">
      <c r="A140" s="18"/>
      <c r="B140" s="306" t="str">
        <f>IF(AND(Sum!$F596="Yes",Sum!$G596="Fees"),Sum!$B596,"")</f>
        <v/>
      </c>
      <c r="C140" s="3"/>
      <c r="D140" s="3"/>
      <c r="E140" s="13"/>
      <c r="F140" s="13"/>
      <c r="G140" s="153">
        <f>IF(AND(Sum!$F596="Yes",Sum!$G596="Fees",Sum!H$548=G$5),Sum!H596,0)</f>
        <v>0</v>
      </c>
      <c r="H140" s="13">
        <f>IF(AND(Sum!$F596="Yes",Sum!$G596="Fees",Sum!I$548=H$5),Sum!I596,0)</f>
        <v>0</v>
      </c>
      <c r="I140" s="13">
        <f>IF(AND(Sum!$F596="Yes",Sum!$G596="Fees",Sum!J$548=I$5),Sum!J596,0)</f>
        <v>0</v>
      </c>
      <c r="J140" s="13">
        <f>IF(AND(Sum!$F596="Yes",Sum!$G596="Fees",Sum!K$548=J$5),Sum!K596,0)</f>
        <v>0</v>
      </c>
      <c r="K140" s="13">
        <f>IF(AND(Sum!$F596="Yes",Sum!$G596="Fees",Sum!L$548=K$5),Sum!L596,0)</f>
        <v>0</v>
      </c>
      <c r="L140" s="13">
        <f>IF(AND(Sum!$F596="Yes",Sum!$G596="Fees",Sum!M$548=L$5),Sum!M596,0)</f>
        <v>0</v>
      </c>
      <c r="M140" s="13">
        <f>IF(AND(Sum!$F596="Yes",Sum!$G596="Fees",Sum!N$548=M$5),Sum!N596,0)</f>
        <v>0</v>
      </c>
      <c r="N140" s="13">
        <f>IF(AND(Sum!$F596="Yes",Sum!$G596="Fees",Sum!O$548=N$5),Sum!O596,0)</f>
        <v>0</v>
      </c>
      <c r="O140" s="13">
        <f>IF(AND(Sum!$F596="Yes",Sum!$G596="Fees",Sum!P$548=O$5),Sum!P596,0)</f>
        <v>0</v>
      </c>
      <c r="P140" s="13">
        <f>IF(AND(Sum!$F596="Yes",Sum!$G596="Fees",Sum!Q$548=P$5),Sum!Q596,0)</f>
        <v>0</v>
      </c>
      <c r="Q140" s="264" t="str">
        <f>IF(AND(Sum!$F596="Yes",Sum!$G596="Fees"),Sum!$E596,"")</f>
        <v/>
      </c>
    </row>
    <row r="141" spans="1:17" ht="12.75" customHeight="1" x14ac:dyDescent="0.25">
      <c r="A141" s="18"/>
      <c r="B141" s="306" t="str">
        <f>IF(AND(Sum!$F597="Yes",Sum!$G597="Fees"),Sum!$B597,"")</f>
        <v/>
      </c>
      <c r="C141" s="3"/>
      <c r="D141" s="3"/>
      <c r="E141" s="13"/>
      <c r="F141" s="13"/>
      <c r="G141" s="153">
        <f>IF(AND(Sum!$F597="Yes",Sum!$G597="Fees",Sum!H$548=G$5),Sum!H597,0)</f>
        <v>0</v>
      </c>
      <c r="H141" s="13">
        <f>IF(AND(Sum!$F597="Yes",Sum!$G597="Fees",Sum!I$548=H$5),Sum!I597,0)</f>
        <v>0</v>
      </c>
      <c r="I141" s="13">
        <f>IF(AND(Sum!$F597="Yes",Sum!$G597="Fees",Sum!J$548=I$5),Sum!J597,0)</f>
        <v>0</v>
      </c>
      <c r="J141" s="13">
        <f>IF(AND(Sum!$F597="Yes",Sum!$G597="Fees",Sum!K$548=J$5),Sum!K597,0)</f>
        <v>0</v>
      </c>
      <c r="K141" s="13">
        <f>IF(AND(Sum!$F597="Yes",Sum!$G597="Fees",Sum!L$548=K$5),Sum!L597,0)</f>
        <v>0</v>
      </c>
      <c r="L141" s="13">
        <f>IF(AND(Sum!$F597="Yes",Sum!$G597="Fees",Sum!M$548=L$5),Sum!M597,0)</f>
        <v>0</v>
      </c>
      <c r="M141" s="13">
        <f>IF(AND(Sum!$F597="Yes",Sum!$G597="Fees",Sum!N$548=M$5),Sum!N597,0)</f>
        <v>0</v>
      </c>
      <c r="N141" s="13">
        <f>IF(AND(Sum!$F597="Yes",Sum!$G597="Fees",Sum!O$548=N$5),Sum!O597,0)</f>
        <v>0</v>
      </c>
      <c r="O141" s="13">
        <f>IF(AND(Sum!$F597="Yes",Sum!$G597="Fees",Sum!P$548=O$5),Sum!P597,0)</f>
        <v>0</v>
      </c>
      <c r="P141" s="13">
        <f>IF(AND(Sum!$F597="Yes",Sum!$G597="Fees",Sum!Q$548=P$5),Sum!Q597,0)</f>
        <v>0</v>
      </c>
      <c r="Q141" s="264" t="str">
        <f>IF(AND(Sum!$F597="Yes",Sum!$G597="Fees"),Sum!$E597,"")</f>
        <v/>
      </c>
    </row>
    <row r="142" spans="1:17" ht="12.75" customHeight="1" x14ac:dyDescent="0.25">
      <c r="A142" s="18"/>
      <c r="B142" s="307" t="s">
        <v>293</v>
      </c>
      <c r="C142" s="22"/>
      <c r="D142" s="22"/>
      <c r="E142" s="30"/>
      <c r="F142" s="30"/>
      <c r="G142" s="154">
        <v>0</v>
      </c>
      <c r="H142" s="30">
        <f>H86/2</f>
        <v>20000</v>
      </c>
      <c r="I142" s="30">
        <f t="shared" ref="I142" si="12">I86/2</f>
        <v>20000</v>
      </c>
      <c r="J142" s="30">
        <f t="shared" ref="J142:P142" si="13">J86/2</f>
        <v>20000</v>
      </c>
      <c r="K142" s="30">
        <f t="shared" si="13"/>
        <v>20000</v>
      </c>
      <c r="L142" s="30">
        <f t="shared" si="13"/>
        <v>20000</v>
      </c>
      <c r="M142" s="30">
        <f t="shared" si="13"/>
        <v>20000</v>
      </c>
      <c r="N142" s="30">
        <f t="shared" si="13"/>
        <v>20000</v>
      </c>
      <c r="O142" s="30">
        <f t="shared" si="13"/>
        <v>20000</v>
      </c>
      <c r="P142" s="30">
        <f t="shared" si="13"/>
        <v>20000</v>
      </c>
      <c r="Q142" s="288" t="str">
        <f>IF(AND(Sum!$F598="Yes",Sum!$G598="Fees"),Sum!$E598,"")</f>
        <v/>
      </c>
    </row>
    <row r="143" spans="1:17" ht="12.75" customHeight="1" x14ac:dyDescent="0.25">
      <c r="A143" s="3"/>
      <c r="B143" s="29" t="s">
        <v>122</v>
      </c>
      <c r="C143" s="3"/>
      <c r="D143" s="3"/>
      <c r="E143" s="13"/>
      <c r="F143" s="13"/>
      <c r="G143" s="153">
        <f>SUM(G93:G142)</f>
        <v>0</v>
      </c>
      <c r="H143" s="13">
        <f>SUM(H93:H142)</f>
        <v>20000</v>
      </c>
      <c r="I143" s="13">
        <f>SUM(I93:I142)</f>
        <v>20000</v>
      </c>
      <c r="J143" s="13">
        <f t="shared" ref="J143:P143" si="14">SUM(J93:J142)</f>
        <v>20000</v>
      </c>
      <c r="K143" s="13">
        <f t="shared" si="14"/>
        <v>20000</v>
      </c>
      <c r="L143" s="13">
        <f t="shared" si="14"/>
        <v>20000</v>
      </c>
      <c r="M143" s="13">
        <f t="shared" si="14"/>
        <v>20000</v>
      </c>
      <c r="N143" s="13">
        <f t="shared" si="14"/>
        <v>20000</v>
      </c>
      <c r="O143" s="13">
        <f t="shared" si="14"/>
        <v>20000</v>
      </c>
      <c r="P143" s="13">
        <f t="shared" si="14"/>
        <v>20000</v>
      </c>
      <c r="Q143" s="82"/>
    </row>
    <row r="144" spans="1:17" ht="12.75" customHeight="1" thickBot="1" x14ac:dyDescent="0.3">
      <c r="A144" s="303"/>
      <c r="B144" s="303"/>
      <c r="C144" s="32"/>
      <c r="D144" s="32"/>
      <c r="E144" s="33"/>
      <c r="F144" s="33"/>
      <c r="G144" s="174"/>
      <c r="H144" s="33"/>
      <c r="I144" s="33"/>
      <c r="J144" s="33"/>
      <c r="K144" s="33"/>
      <c r="L144" s="33"/>
      <c r="M144" s="33"/>
      <c r="N144" s="33"/>
      <c r="O144" s="33"/>
      <c r="P144" s="33"/>
      <c r="Q144" s="82"/>
    </row>
    <row r="145" spans="1:17" ht="12.75" customHeight="1" thickTop="1" x14ac:dyDescent="0.25">
      <c r="A145" s="304" t="s">
        <v>164</v>
      </c>
      <c r="B145" s="18"/>
      <c r="C145" s="3"/>
      <c r="D145" s="3"/>
      <c r="E145" s="13"/>
      <c r="F145" s="13"/>
      <c r="G145" s="153">
        <f>G90-G143</f>
        <v>40000</v>
      </c>
      <c r="H145" s="13">
        <f>H90-H143</f>
        <v>20600</v>
      </c>
      <c r="I145" s="13">
        <f>I90-I143</f>
        <v>20909</v>
      </c>
      <c r="J145" s="13">
        <f t="shared" ref="J145:P145" si="15">J90-J143</f>
        <v>21222.635000000002</v>
      </c>
      <c r="K145" s="13">
        <f t="shared" si="15"/>
        <v>21540.974524999998</v>
      </c>
      <c r="L145" s="13">
        <f t="shared" si="15"/>
        <v>21864.089142875004</v>
      </c>
      <c r="M145" s="13">
        <f t="shared" si="15"/>
        <v>22192.050480018122</v>
      </c>
      <c r="N145" s="13">
        <f t="shared" si="15"/>
        <v>22524.931237218399</v>
      </c>
      <c r="O145" s="13">
        <f t="shared" si="15"/>
        <v>22862.805205776676</v>
      </c>
      <c r="P145" s="13">
        <f t="shared" si="15"/>
        <v>23205.747283863326</v>
      </c>
      <c r="Q145" s="82"/>
    </row>
    <row r="146" spans="1:17" ht="12.75" customHeight="1" thickBot="1" x14ac:dyDescent="0.3">
      <c r="A146" s="305"/>
      <c r="B146" s="303"/>
      <c r="C146" s="32"/>
      <c r="D146" s="32"/>
      <c r="E146" s="33"/>
      <c r="F146" s="33"/>
      <c r="G146" s="174"/>
      <c r="H146" s="33"/>
      <c r="I146" s="33"/>
      <c r="J146" s="33"/>
      <c r="K146" s="33"/>
      <c r="L146" s="33"/>
      <c r="M146" s="33"/>
      <c r="N146" s="33"/>
      <c r="O146" s="33"/>
      <c r="P146" s="33"/>
      <c r="Q146" s="82"/>
    </row>
    <row r="147" spans="1:17" ht="12.75" customHeight="1" thickTop="1" x14ac:dyDescent="0.25">
      <c r="A147" s="304" t="s">
        <v>187</v>
      </c>
      <c r="B147" s="18"/>
      <c r="C147" s="3"/>
      <c r="D147" s="3"/>
      <c r="E147" s="13"/>
      <c r="F147" s="13"/>
      <c r="G147" s="153">
        <f>G83+G145</f>
        <v>40000</v>
      </c>
      <c r="H147" s="13">
        <f>H83+H145</f>
        <v>60600</v>
      </c>
      <c r="I147" s="13">
        <f>I83+I145</f>
        <v>81509</v>
      </c>
      <c r="J147" s="13">
        <f t="shared" ref="J147:P147" si="16">J83+J145</f>
        <v>102731.63500000001</v>
      </c>
      <c r="K147" s="13">
        <f t="shared" si="16"/>
        <v>124272.60952500001</v>
      </c>
      <c r="L147" s="13">
        <f t="shared" si="16"/>
        <v>146136.69866787503</v>
      </c>
      <c r="M147" s="13">
        <f t="shared" si="16"/>
        <v>168328.74914789316</v>
      </c>
      <c r="N147" s="13">
        <f t="shared" si="16"/>
        <v>190853.68038511157</v>
      </c>
      <c r="O147" s="13">
        <f t="shared" si="16"/>
        <v>213716.48559088825</v>
      </c>
      <c r="P147" s="13">
        <f t="shared" si="16"/>
        <v>236922.23287475156</v>
      </c>
      <c r="Q147" s="82"/>
    </row>
    <row r="148" spans="1:17" ht="12.75" customHeight="1" thickBot="1" x14ac:dyDescent="0.3">
      <c r="A148" s="301"/>
      <c r="B148" s="301"/>
      <c r="C148" s="7"/>
      <c r="D148" s="7"/>
      <c r="E148" s="15"/>
      <c r="F148" s="15"/>
      <c r="G148" s="155"/>
      <c r="H148" s="15"/>
      <c r="I148" s="15"/>
      <c r="J148" s="15"/>
      <c r="K148" s="15"/>
      <c r="L148" s="15"/>
      <c r="M148" s="15"/>
      <c r="N148" s="15"/>
      <c r="O148" s="15"/>
      <c r="P148" s="15"/>
      <c r="Q148" s="302"/>
    </row>
    <row r="149" spans="1:17" ht="12.75" customHeight="1" x14ac:dyDescent="0.25">
      <c r="A149" s="62" t="s">
        <v>188</v>
      </c>
      <c r="B149" s="3"/>
      <c r="C149" s="3"/>
      <c r="D149" s="60">
        <v>0.75</v>
      </c>
      <c r="E149" s="13" t="s">
        <v>189</v>
      </c>
      <c r="F149" s="13"/>
      <c r="G149" s="431">
        <v>0.02</v>
      </c>
      <c r="H149" s="13" t="s">
        <v>190</v>
      </c>
      <c r="I149" s="13"/>
      <c r="J149" s="13"/>
      <c r="K149" s="13"/>
      <c r="L149" s="13"/>
      <c r="M149" s="13"/>
      <c r="N149" s="13"/>
      <c r="O149" s="13"/>
      <c r="P149" s="13"/>
    </row>
    <row r="150" spans="1:17" ht="12.75" customHeight="1" x14ac:dyDescent="0.25">
      <c r="A150" s="16"/>
      <c r="B150" s="3"/>
      <c r="C150" s="3"/>
      <c r="D150" s="3"/>
      <c r="E150" s="13"/>
      <c r="F150" s="13"/>
      <c r="G150" s="13"/>
      <c r="H150" s="13"/>
      <c r="I150" s="13"/>
      <c r="J150" s="13"/>
      <c r="K150" s="13"/>
      <c r="L150" s="13"/>
      <c r="M150" s="13"/>
      <c r="N150" s="13"/>
      <c r="O150" s="13"/>
      <c r="P150" s="13"/>
    </row>
    <row r="151" spans="1:17" ht="12.75" customHeight="1" x14ac:dyDescent="0.25">
      <c r="A151" s="16"/>
      <c r="B151" s="3"/>
      <c r="C151" s="3"/>
      <c r="D151" s="3"/>
      <c r="E151" s="13"/>
      <c r="F151" s="13"/>
      <c r="G151" s="13"/>
      <c r="H151" s="13"/>
      <c r="I151" s="13"/>
      <c r="J151" s="13"/>
      <c r="K151" s="13"/>
      <c r="L151" s="13"/>
      <c r="M151" s="13"/>
      <c r="N151" s="13"/>
      <c r="O151" s="13"/>
      <c r="P151" s="13"/>
    </row>
    <row r="152" spans="1:17" ht="12.75" customHeight="1" x14ac:dyDescent="0.25">
      <c r="A152" s="16"/>
      <c r="B152" s="3"/>
      <c r="C152" s="3"/>
      <c r="D152" s="3"/>
      <c r="E152" s="13"/>
      <c r="F152" s="13"/>
      <c r="G152" s="13"/>
      <c r="H152" s="13"/>
      <c r="I152" s="13"/>
      <c r="J152" s="13"/>
      <c r="K152" s="13"/>
      <c r="L152" s="13"/>
      <c r="M152" s="13"/>
      <c r="N152" s="13"/>
      <c r="O152" s="13"/>
      <c r="P152" s="13"/>
    </row>
    <row r="153" spans="1:17" ht="12.75" customHeight="1" x14ac:dyDescent="0.25">
      <c r="A153" s="77" t="s">
        <v>150</v>
      </c>
      <c r="B153" s="3"/>
      <c r="C153" s="3"/>
      <c r="D153" s="3"/>
      <c r="E153" s="13"/>
      <c r="F153" s="13"/>
      <c r="G153" s="13"/>
      <c r="H153" s="13"/>
      <c r="I153" s="13"/>
      <c r="J153" s="13"/>
      <c r="K153" s="13"/>
      <c r="L153" s="13"/>
      <c r="M153" s="13"/>
      <c r="N153" s="13"/>
      <c r="O153" s="3"/>
      <c r="P153" s="3"/>
    </row>
    <row r="154" spans="1:17" ht="12.75" customHeight="1" x14ac:dyDescent="0.25">
      <c r="A154" s="77" t="s">
        <v>133</v>
      </c>
      <c r="B154" s="3"/>
      <c r="C154" s="3"/>
      <c r="D154" s="3"/>
      <c r="E154" s="13"/>
      <c r="F154" s="13"/>
      <c r="G154" s="13"/>
      <c r="H154" s="13"/>
      <c r="I154" s="3"/>
      <c r="J154" s="3"/>
      <c r="K154" s="3"/>
      <c r="L154" s="3"/>
      <c r="M154" s="3"/>
      <c r="N154" s="3"/>
      <c r="O154" s="3"/>
      <c r="P154" s="3"/>
    </row>
    <row r="155" spans="1:17" ht="12.75" customHeight="1" x14ac:dyDescent="0.25">
      <c r="A155" s="77" t="s">
        <v>121</v>
      </c>
      <c r="B155" s="3"/>
      <c r="C155" s="3"/>
      <c r="D155" s="3"/>
      <c r="E155" s="13"/>
      <c r="F155" s="13"/>
      <c r="G155" s="13"/>
      <c r="H155" s="13"/>
      <c r="I155" s="3"/>
      <c r="J155" s="3"/>
      <c r="K155" s="3"/>
      <c r="L155" s="3"/>
      <c r="M155" s="3"/>
      <c r="N155" s="3"/>
      <c r="O155" s="3"/>
      <c r="P155" s="3"/>
    </row>
    <row r="156" spans="1:17" ht="12.75" customHeight="1" thickBot="1" x14ac:dyDescent="0.3">
      <c r="A156" s="78" t="s">
        <v>428</v>
      </c>
      <c r="B156" s="7"/>
      <c r="C156" s="7"/>
      <c r="D156" s="7"/>
      <c r="E156" s="105"/>
      <c r="F156" s="15"/>
      <c r="G156" s="15"/>
      <c r="H156" s="15"/>
      <c r="I156" s="7"/>
      <c r="J156" s="7"/>
      <c r="K156" s="7"/>
      <c r="L156" s="7"/>
      <c r="M156" s="7"/>
      <c r="N156" s="7"/>
      <c r="O156" s="7"/>
      <c r="P156" s="7"/>
    </row>
    <row r="157" spans="1:17" ht="12.75" customHeight="1" x14ac:dyDescent="0.25">
      <c r="A157" s="645" t="s">
        <v>215</v>
      </c>
      <c r="B157" s="645"/>
      <c r="C157" s="645"/>
      <c r="D157" s="214"/>
      <c r="E157" s="215">
        <f>Sum!E$5</f>
        <v>2023</v>
      </c>
      <c r="F157" s="215">
        <f>Sum!F$5</f>
        <v>2024</v>
      </c>
      <c r="G157" s="216">
        <f>Sum!G$5</f>
        <v>2025</v>
      </c>
      <c r="H157" s="215">
        <f>Sum!H$5</f>
        <v>2026</v>
      </c>
      <c r="I157" s="215">
        <f>Sum!I$5</f>
        <v>2027</v>
      </c>
      <c r="J157" s="215">
        <f>Sum!J$5</f>
        <v>2028</v>
      </c>
      <c r="K157" s="215">
        <f>Sum!K$5</f>
        <v>2029</v>
      </c>
      <c r="L157" s="215">
        <f>Sum!L$5</f>
        <v>2030</v>
      </c>
      <c r="M157" s="215">
        <f>Sum!M$5</f>
        <v>2031</v>
      </c>
      <c r="N157" s="215">
        <f>Sum!N$5</f>
        <v>2032</v>
      </c>
      <c r="O157" s="215">
        <f>Sum!O$5</f>
        <v>2033</v>
      </c>
      <c r="P157" s="215">
        <f>Sum!P$5</f>
        <v>2034</v>
      </c>
    </row>
    <row r="158" spans="1:17" ht="12.75" customHeight="1" x14ac:dyDescent="0.25">
      <c r="A158" s="16"/>
      <c r="B158" s="16"/>
      <c r="C158" s="16"/>
      <c r="D158" s="16"/>
      <c r="E158" s="120"/>
      <c r="F158" s="120"/>
      <c r="G158" s="178"/>
      <c r="H158" s="120"/>
      <c r="I158" s="120"/>
      <c r="J158" s="120"/>
      <c r="K158" s="120"/>
      <c r="L158" s="120"/>
      <c r="M158" s="120"/>
      <c r="N158" s="120"/>
      <c r="O158" s="120"/>
      <c r="P158" s="120"/>
    </row>
    <row r="159" spans="1:17" ht="12.75" customHeight="1" x14ac:dyDescent="0.25">
      <c r="A159" s="280" t="s">
        <v>126</v>
      </c>
      <c r="B159" s="74"/>
      <c r="C159" s="3"/>
      <c r="D159" s="3"/>
      <c r="E159" s="101"/>
      <c r="F159" s="101"/>
      <c r="G159" s="160"/>
      <c r="H159" s="20"/>
      <c r="I159" s="20"/>
      <c r="J159" s="20"/>
      <c r="K159" s="20"/>
      <c r="L159" s="20"/>
      <c r="M159" s="20"/>
      <c r="N159" s="20"/>
      <c r="O159" s="20"/>
      <c r="P159" s="20"/>
    </row>
    <row r="160" spans="1:17" ht="12.75" customHeight="1" x14ac:dyDescent="0.25">
      <c r="A160" s="129" t="s">
        <v>145</v>
      </c>
      <c r="B160" s="129"/>
      <c r="C160" s="3"/>
      <c r="D160" s="3"/>
      <c r="E160" s="101"/>
      <c r="F160" s="101"/>
      <c r="G160" s="160">
        <f>SUMIF($Q$17:$Q$66,"=WWTP",G$17:G$66)</f>
        <v>0</v>
      </c>
      <c r="H160" s="20">
        <f>SUMIF($Q$17:$Q$66,"=WWTP",H$17:H$66)</f>
        <v>0</v>
      </c>
      <c r="I160" s="20">
        <f>SUMIF($Q$17:$Q$66,"=WWTP",I$17:I$66)</f>
        <v>0</v>
      </c>
      <c r="J160" s="20">
        <f t="shared" ref="J160:P160" si="17">SUMIF($Q$17:$Q$66,"=WWTP",J$17:J$66)</f>
        <v>0</v>
      </c>
      <c r="K160" s="20">
        <f t="shared" si="17"/>
        <v>0</v>
      </c>
      <c r="L160" s="20">
        <f t="shared" si="17"/>
        <v>0</v>
      </c>
      <c r="M160" s="20">
        <f t="shared" si="17"/>
        <v>0</v>
      </c>
      <c r="N160" s="20">
        <f t="shared" si="17"/>
        <v>0</v>
      </c>
      <c r="O160" s="20">
        <f t="shared" si="17"/>
        <v>0</v>
      </c>
      <c r="P160" s="20">
        <f t="shared" si="17"/>
        <v>0</v>
      </c>
    </row>
    <row r="161" spans="1:16" ht="12.75" customHeight="1" x14ac:dyDescent="0.25">
      <c r="A161" s="129" t="s">
        <v>130</v>
      </c>
      <c r="B161" s="129"/>
      <c r="C161" s="3"/>
      <c r="D161" s="3"/>
      <c r="E161" s="101"/>
      <c r="F161" s="101"/>
      <c r="G161" s="160">
        <f>SUMIF($Q$17:$Q$66,"=P&amp;I",G$17:G$66)</f>
        <v>0</v>
      </c>
      <c r="H161" s="20">
        <f>SUMIF($Q$17:$Q$66,"=P&amp;I",H$17:H$66)</f>
        <v>0</v>
      </c>
      <c r="I161" s="20">
        <f>SUMIF($Q$17:$Q$66,"=P&amp;I",I$17:I$66)</f>
        <v>0</v>
      </c>
      <c r="J161" s="20">
        <f t="shared" ref="J161:P161" si="18">SUMIF($Q$17:$Q$66,"=P&amp;I",J$17:J$66)</f>
        <v>0</v>
      </c>
      <c r="K161" s="20">
        <f t="shared" si="18"/>
        <v>0</v>
      </c>
      <c r="L161" s="20">
        <f t="shared" si="18"/>
        <v>0</v>
      </c>
      <c r="M161" s="20">
        <f t="shared" si="18"/>
        <v>0</v>
      </c>
      <c r="N161" s="20">
        <f t="shared" si="18"/>
        <v>0</v>
      </c>
      <c r="O161" s="20">
        <f t="shared" si="18"/>
        <v>0</v>
      </c>
      <c r="P161" s="20">
        <f t="shared" si="18"/>
        <v>0</v>
      </c>
    </row>
    <row r="162" spans="1:16" ht="12.75" customHeight="1" x14ac:dyDescent="0.25">
      <c r="A162" s="266" t="s">
        <v>131</v>
      </c>
      <c r="B162" s="266"/>
      <c r="C162" s="22"/>
      <c r="D162" s="22"/>
      <c r="E162" s="141"/>
      <c r="F162" s="141"/>
      <c r="G162" s="177">
        <f>SUMIF($Q$17:$Q$66,"=Collection",G$17:G$66)</f>
        <v>0</v>
      </c>
      <c r="H162" s="76">
        <f>SUMIF($Q$17:$Q$66,"=Collection",H$17:H$66)</f>
        <v>450000</v>
      </c>
      <c r="I162" s="76">
        <f>SUMIF($Q$17:$Q$66,"=Collection",I$17:I$66)</f>
        <v>0</v>
      </c>
      <c r="J162" s="76">
        <f t="shared" ref="J162:P162" si="19">SUMIF($Q$17:$Q$66,"=Collection",J$17:J$66)</f>
        <v>0</v>
      </c>
      <c r="K162" s="76">
        <f t="shared" si="19"/>
        <v>0</v>
      </c>
      <c r="L162" s="76">
        <f t="shared" si="19"/>
        <v>0</v>
      </c>
      <c r="M162" s="76">
        <f t="shared" si="19"/>
        <v>0</v>
      </c>
      <c r="N162" s="76">
        <f t="shared" si="19"/>
        <v>0</v>
      </c>
      <c r="O162" s="76">
        <f t="shared" si="19"/>
        <v>0</v>
      </c>
      <c r="P162" s="76">
        <f t="shared" si="19"/>
        <v>0</v>
      </c>
    </row>
    <row r="163" spans="1:16" ht="12.75" customHeight="1" x14ac:dyDescent="0.25">
      <c r="A163" s="72" t="s">
        <v>127</v>
      </c>
      <c r="B163" s="72"/>
      <c r="C163" s="29"/>
      <c r="D163" s="29"/>
      <c r="E163" s="344"/>
      <c r="F163" s="344"/>
      <c r="G163" s="345">
        <f>SUM(G160:G162)</f>
        <v>0</v>
      </c>
      <c r="H163" s="346">
        <f>SUM(H160:H162)</f>
        <v>450000</v>
      </c>
      <c r="I163" s="346">
        <f>SUM(I160:I162)</f>
        <v>0</v>
      </c>
      <c r="J163" s="346">
        <f t="shared" ref="J163:P163" si="20">SUM(J160:J162)</f>
        <v>0</v>
      </c>
      <c r="K163" s="346">
        <f t="shared" si="20"/>
        <v>0</v>
      </c>
      <c r="L163" s="346">
        <f t="shared" si="20"/>
        <v>0</v>
      </c>
      <c r="M163" s="346">
        <f t="shared" si="20"/>
        <v>0</v>
      </c>
      <c r="N163" s="346">
        <f t="shared" si="20"/>
        <v>0</v>
      </c>
      <c r="O163" s="346">
        <f t="shared" si="20"/>
        <v>0</v>
      </c>
      <c r="P163" s="346">
        <f t="shared" si="20"/>
        <v>0</v>
      </c>
    </row>
    <row r="164" spans="1:16" ht="12.75" customHeight="1" x14ac:dyDescent="0.25">
      <c r="A164" s="16"/>
      <c r="B164" s="16"/>
      <c r="C164" s="16"/>
      <c r="D164" s="16"/>
      <c r="E164" s="120"/>
      <c r="F164" s="120"/>
      <c r="G164" s="178"/>
      <c r="H164" s="120"/>
      <c r="I164" s="120"/>
      <c r="J164" s="120"/>
      <c r="K164" s="120"/>
      <c r="L164" s="120"/>
      <c r="M164" s="120"/>
      <c r="N164" s="120"/>
      <c r="O164" s="120"/>
      <c r="P164" s="120"/>
    </row>
    <row r="165" spans="1:16" ht="12.75" customHeight="1" x14ac:dyDescent="0.25">
      <c r="A165" s="280" t="s">
        <v>125</v>
      </c>
      <c r="B165" s="74"/>
      <c r="C165" s="3"/>
      <c r="D165" s="3"/>
      <c r="E165" s="101"/>
      <c r="F165" s="101"/>
      <c r="G165" s="160"/>
      <c r="H165" s="20"/>
      <c r="I165" s="20"/>
      <c r="J165" s="20"/>
      <c r="K165" s="20"/>
      <c r="L165" s="20"/>
      <c r="M165" s="20"/>
      <c r="N165" s="20"/>
      <c r="O165" s="20"/>
      <c r="P165" s="20"/>
    </row>
    <row r="166" spans="1:16" ht="12.75" customHeight="1" x14ac:dyDescent="0.25">
      <c r="A166" s="129" t="s">
        <v>145</v>
      </c>
      <c r="B166" s="129"/>
      <c r="C166" s="3"/>
      <c r="D166" s="3"/>
      <c r="E166" s="101"/>
      <c r="F166" s="101"/>
      <c r="G166" s="160">
        <f>SUMIF($Q$93:$Q$142,"=WWTP",G$93:G$142)</f>
        <v>0</v>
      </c>
      <c r="H166" s="20">
        <f>SUMIF($Q$93:$Q$142,"=WWTP",H$93:H$142)</f>
        <v>0</v>
      </c>
      <c r="I166" s="20">
        <f>SUMIF($Q$93:$Q$142,"=WWTP",I$93:I$142)</f>
        <v>0</v>
      </c>
      <c r="J166" s="20">
        <f t="shared" ref="J166:P166" si="21">SUMIF($Q$93:$Q$142,"=WWTP",J$93:J$142)</f>
        <v>0</v>
      </c>
      <c r="K166" s="20">
        <f t="shared" si="21"/>
        <v>0</v>
      </c>
      <c r="L166" s="20">
        <f t="shared" si="21"/>
        <v>0</v>
      </c>
      <c r="M166" s="20">
        <f t="shared" si="21"/>
        <v>0</v>
      </c>
      <c r="N166" s="20">
        <f t="shared" si="21"/>
        <v>0</v>
      </c>
      <c r="O166" s="20">
        <f t="shared" si="21"/>
        <v>0</v>
      </c>
      <c r="P166" s="20">
        <f t="shared" si="21"/>
        <v>0</v>
      </c>
    </row>
    <row r="167" spans="1:16" ht="12.75" customHeight="1" x14ac:dyDescent="0.25">
      <c r="A167" s="129" t="s">
        <v>130</v>
      </c>
      <c r="B167" s="129"/>
      <c r="C167" s="3"/>
      <c r="D167" s="3"/>
      <c r="E167" s="101"/>
      <c r="F167" s="101"/>
      <c r="G167" s="160">
        <f>SUMIF($Q$93:$Q$142,"=P&amp;I",G$93:G$142)</f>
        <v>0</v>
      </c>
      <c r="H167" s="20">
        <f>SUMIF($Q$93:$Q$142,"=P&amp;I",H$93:H$142)</f>
        <v>0</v>
      </c>
      <c r="I167" s="20">
        <f>SUMIF($Q$93:$Q$142,"=P&amp;I",I$93:I$142)</f>
        <v>0</v>
      </c>
      <c r="J167" s="20">
        <f t="shared" ref="J167:P167" si="22">SUMIF($Q$93:$Q$142,"=P&amp;I",J$93:J$142)</f>
        <v>0</v>
      </c>
      <c r="K167" s="20">
        <f t="shared" si="22"/>
        <v>0</v>
      </c>
      <c r="L167" s="20">
        <f t="shared" si="22"/>
        <v>0</v>
      </c>
      <c r="M167" s="20">
        <f t="shared" si="22"/>
        <v>0</v>
      </c>
      <c r="N167" s="20">
        <f t="shared" si="22"/>
        <v>0</v>
      </c>
      <c r="O167" s="20">
        <f t="shared" si="22"/>
        <v>0</v>
      </c>
      <c r="P167" s="20">
        <f t="shared" si="22"/>
        <v>0</v>
      </c>
    </row>
    <row r="168" spans="1:16" ht="12.75" customHeight="1" x14ac:dyDescent="0.25">
      <c r="A168" s="266" t="s">
        <v>131</v>
      </c>
      <c r="B168" s="266"/>
      <c r="C168" s="22"/>
      <c r="D168" s="22"/>
      <c r="E168" s="141"/>
      <c r="F168" s="141"/>
      <c r="G168" s="177">
        <f>SUMIF($Q$93:$Q$142,"=Collection",G$93:G$142)</f>
        <v>0</v>
      </c>
      <c r="H168" s="76">
        <f>SUMIF($Q$93:$Q$142,"=Collection",H$93:H$142)</f>
        <v>0</v>
      </c>
      <c r="I168" s="76">
        <f>SUMIF($Q$93:$Q$142,"=Collection",I$93:I$142)</f>
        <v>0</v>
      </c>
      <c r="J168" s="76">
        <f t="shared" ref="J168:P168" si="23">SUMIF($Q$93:$Q$142,"=Collection",J$93:J$142)</f>
        <v>0</v>
      </c>
      <c r="K168" s="76">
        <f t="shared" si="23"/>
        <v>0</v>
      </c>
      <c r="L168" s="76">
        <f t="shared" si="23"/>
        <v>0</v>
      </c>
      <c r="M168" s="76">
        <f t="shared" si="23"/>
        <v>0</v>
      </c>
      <c r="N168" s="76">
        <f t="shared" si="23"/>
        <v>0</v>
      </c>
      <c r="O168" s="76">
        <f t="shared" si="23"/>
        <v>0</v>
      </c>
      <c r="P168" s="76">
        <f t="shared" si="23"/>
        <v>0</v>
      </c>
    </row>
    <row r="169" spans="1:16" ht="12.75" customHeight="1" x14ac:dyDescent="0.25">
      <c r="A169" s="72" t="s">
        <v>124</v>
      </c>
      <c r="B169" s="72"/>
      <c r="C169" s="29"/>
      <c r="D169" s="29"/>
      <c r="E169" s="344"/>
      <c r="F169" s="344"/>
      <c r="G169" s="345">
        <f>SUM(G166:G168)</f>
        <v>0</v>
      </c>
      <c r="H169" s="346">
        <f>SUM(H166:H168)</f>
        <v>0</v>
      </c>
      <c r="I169" s="346">
        <f>SUM(I166:I168)</f>
        <v>0</v>
      </c>
      <c r="J169" s="346">
        <f t="shared" ref="J169:P169" si="24">SUM(J166:J168)</f>
        <v>0</v>
      </c>
      <c r="K169" s="346">
        <f t="shared" si="24"/>
        <v>0</v>
      </c>
      <c r="L169" s="346">
        <f t="shared" si="24"/>
        <v>0</v>
      </c>
      <c r="M169" s="346">
        <f t="shared" si="24"/>
        <v>0</v>
      </c>
      <c r="N169" s="346">
        <f t="shared" si="24"/>
        <v>0</v>
      </c>
      <c r="O169" s="346">
        <f t="shared" si="24"/>
        <v>0</v>
      </c>
      <c r="P169" s="346">
        <f t="shared" si="24"/>
        <v>0</v>
      </c>
    </row>
    <row r="170" spans="1:16" ht="12.75" customHeight="1" thickBot="1" x14ac:dyDescent="0.3">
      <c r="A170" s="31"/>
      <c r="B170" s="31"/>
      <c r="C170" s="31"/>
      <c r="D170" s="31"/>
      <c r="E170" s="347"/>
      <c r="F170" s="347"/>
      <c r="G170" s="348"/>
      <c r="H170" s="347"/>
      <c r="I170" s="347"/>
      <c r="J170" s="347"/>
      <c r="K170" s="347"/>
      <c r="L170" s="347"/>
      <c r="M170" s="347"/>
      <c r="N170" s="347"/>
      <c r="O170" s="347"/>
      <c r="P170" s="347"/>
    </row>
    <row r="171" spans="1:16" ht="12.75" customHeight="1" thickTop="1" x14ac:dyDescent="0.25">
      <c r="A171" s="16"/>
      <c r="B171" s="16"/>
      <c r="C171" s="16"/>
      <c r="D171" s="16"/>
      <c r="E171" s="120"/>
      <c r="F171" s="120"/>
      <c r="G171" s="178"/>
      <c r="H171" s="120"/>
      <c r="I171" s="120"/>
      <c r="J171" s="120"/>
      <c r="K171" s="120"/>
      <c r="L171" s="120"/>
      <c r="M171" s="120"/>
      <c r="N171" s="120"/>
      <c r="O171" s="120"/>
      <c r="P171" s="120"/>
    </row>
    <row r="172" spans="1:16" ht="12.75" customHeight="1" x14ac:dyDescent="0.25">
      <c r="A172" s="280" t="s">
        <v>128</v>
      </c>
      <c r="B172" s="74"/>
      <c r="C172" s="3"/>
      <c r="D172" s="3"/>
      <c r="E172" s="101"/>
      <c r="F172" s="101"/>
      <c r="G172" s="160"/>
      <c r="H172" s="20"/>
      <c r="I172" s="20"/>
      <c r="J172" s="20"/>
      <c r="K172" s="20"/>
      <c r="L172" s="20"/>
      <c r="M172" s="20"/>
      <c r="N172" s="20"/>
      <c r="O172" s="20"/>
      <c r="P172" s="20"/>
    </row>
    <row r="173" spans="1:16" ht="12.75" customHeight="1" x14ac:dyDescent="0.25">
      <c r="A173" s="129" t="s">
        <v>145</v>
      </c>
      <c r="B173" s="129"/>
      <c r="C173" s="3"/>
      <c r="D173" s="3"/>
      <c r="E173" s="101"/>
      <c r="F173" s="101"/>
      <c r="G173" s="160">
        <f>G160+G166</f>
        <v>0</v>
      </c>
      <c r="H173" s="414">
        <f>H160+H166</f>
        <v>0</v>
      </c>
      <c r="I173" s="20">
        <f>I160+I166</f>
        <v>0</v>
      </c>
      <c r="J173" s="20">
        <f t="shared" ref="J173:P173" si="25">J160+J166</f>
        <v>0</v>
      </c>
      <c r="K173" s="20">
        <f t="shared" si="25"/>
        <v>0</v>
      </c>
      <c r="L173" s="20">
        <f t="shared" si="25"/>
        <v>0</v>
      </c>
      <c r="M173" s="20">
        <f t="shared" si="25"/>
        <v>0</v>
      </c>
      <c r="N173" s="20">
        <f t="shared" si="25"/>
        <v>0</v>
      </c>
      <c r="O173" s="20">
        <f t="shared" si="25"/>
        <v>0</v>
      </c>
      <c r="P173" s="20">
        <f t="shared" si="25"/>
        <v>0</v>
      </c>
    </row>
    <row r="174" spans="1:16" ht="12.75" customHeight="1" x14ac:dyDescent="0.25">
      <c r="A174" s="129" t="s">
        <v>130</v>
      </c>
      <c r="B174" s="129"/>
      <c r="C174" s="3"/>
      <c r="D174" s="3"/>
      <c r="E174" s="101"/>
      <c r="F174" s="101"/>
      <c r="G174" s="160">
        <f t="shared" ref="G174:I175" si="26">G161+G167</f>
        <v>0</v>
      </c>
      <c r="H174" s="414">
        <f t="shared" si="26"/>
        <v>0</v>
      </c>
      <c r="I174" s="20">
        <f t="shared" si="26"/>
        <v>0</v>
      </c>
      <c r="J174" s="20">
        <f t="shared" ref="J174:P174" si="27">J161+J167</f>
        <v>0</v>
      </c>
      <c r="K174" s="20">
        <f t="shared" si="27"/>
        <v>0</v>
      </c>
      <c r="L174" s="20">
        <f t="shared" si="27"/>
        <v>0</v>
      </c>
      <c r="M174" s="20">
        <f t="shared" si="27"/>
        <v>0</v>
      </c>
      <c r="N174" s="20">
        <f t="shared" si="27"/>
        <v>0</v>
      </c>
      <c r="O174" s="20">
        <f t="shared" si="27"/>
        <v>0</v>
      </c>
      <c r="P174" s="20">
        <f t="shared" si="27"/>
        <v>0</v>
      </c>
    </row>
    <row r="175" spans="1:16" ht="12.75" customHeight="1" x14ac:dyDescent="0.25">
      <c r="A175" s="266" t="s">
        <v>131</v>
      </c>
      <c r="B175" s="266"/>
      <c r="C175" s="22"/>
      <c r="D175" s="22"/>
      <c r="E175" s="141"/>
      <c r="F175" s="141"/>
      <c r="G175" s="177">
        <f t="shared" si="26"/>
        <v>0</v>
      </c>
      <c r="H175" s="415">
        <f t="shared" si="26"/>
        <v>450000</v>
      </c>
      <c r="I175" s="76">
        <f t="shared" si="26"/>
        <v>0</v>
      </c>
      <c r="J175" s="76">
        <f t="shared" ref="J175:P175" si="28">J162+J168</f>
        <v>0</v>
      </c>
      <c r="K175" s="76">
        <f t="shared" si="28"/>
        <v>0</v>
      </c>
      <c r="L175" s="76">
        <f t="shared" si="28"/>
        <v>0</v>
      </c>
      <c r="M175" s="76">
        <f t="shared" si="28"/>
        <v>0</v>
      </c>
      <c r="N175" s="76">
        <f t="shared" si="28"/>
        <v>0</v>
      </c>
      <c r="O175" s="76">
        <f t="shared" si="28"/>
        <v>0</v>
      </c>
      <c r="P175" s="76">
        <f t="shared" si="28"/>
        <v>0</v>
      </c>
    </row>
    <row r="176" spans="1:16" ht="12.75" customHeight="1" x14ac:dyDescent="0.25">
      <c r="A176" s="72" t="s">
        <v>132</v>
      </c>
      <c r="B176" s="72"/>
      <c r="C176" s="29"/>
      <c r="D176" s="29"/>
      <c r="E176" s="344"/>
      <c r="F176" s="344"/>
      <c r="G176" s="345">
        <f>SUM(G173:G175)</f>
        <v>0</v>
      </c>
      <c r="H176" s="346">
        <f>SUM(H173:H175)</f>
        <v>450000</v>
      </c>
      <c r="I176" s="346">
        <f>SUM(I173:I175)</f>
        <v>0</v>
      </c>
      <c r="J176" s="346">
        <f t="shared" ref="J176:P176" si="29">SUM(J173:J175)</f>
        <v>0</v>
      </c>
      <c r="K176" s="346">
        <f t="shared" si="29"/>
        <v>0</v>
      </c>
      <c r="L176" s="346">
        <f t="shared" si="29"/>
        <v>0</v>
      </c>
      <c r="M176" s="346">
        <f t="shared" si="29"/>
        <v>0</v>
      </c>
      <c r="N176" s="346">
        <f t="shared" si="29"/>
        <v>0</v>
      </c>
      <c r="O176" s="346">
        <f t="shared" si="29"/>
        <v>0</v>
      </c>
      <c r="P176" s="346">
        <f t="shared" si="29"/>
        <v>0</v>
      </c>
    </row>
    <row r="177" spans="1:16" ht="12.75" customHeight="1" thickBot="1" x14ac:dyDescent="0.3">
      <c r="A177" s="14"/>
      <c r="B177" s="7"/>
      <c r="C177" s="7"/>
      <c r="D177" s="7"/>
      <c r="E177" s="15"/>
      <c r="F177" s="15"/>
      <c r="G177" s="155"/>
      <c r="H177" s="15"/>
      <c r="I177" s="15"/>
      <c r="J177" s="15"/>
      <c r="K177" s="15"/>
      <c r="L177" s="15"/>
      <c r="M177" s="15"/>
      <c r="N177" s="15"/>
      <c r="O177" s="15"/>
      <c r="P177" s="15"/>
    </row>
    <row r="178" spans="1:16" ht="12.75" customHeight="1" x14ac:dyDescent="0.25">
      <c r="A178" s="16"/>
      <c r="B178" s="3"/>
      <c r="C178" s="3"/>
      <c r="D178" s="3"/>
      <c r="E178" s="13"/>
      <c r="F178" s="13"/>
      <c r="G178" s="423"/>
      <c r="H178" s="13"/>
      <c r="I178" s="13"/>
      <c r="J178" s="13"/>
      <c r="K178" s="13"/>
    </row>
    <row r="179" spans="1:16" ht="12.75" customHeight="1" x14ac:dyDescent="0.25">
      <c r="A179" s="16"/>
      <c r="B179" s="3"/>
      <c r="C179" s="3"/>
      <c r="D179" s="3"/>
      <c r="E179" s="13"/>
      <c r="F179" s="13"/>
      <c r="G179" s="13"/>
      <c r="H179" s="13"/>
      <c r="I179" s="13"/>
      <c r="J179" s="13"/>
      <c r="K179" s="13"/>
    </row>
    <row r="180" spans="1:16" ht="12.75" customHeight="1" x14ac:dyDescent="0.25">
      <c r="A180" s="16"/>
      <c r="B180" s="3"/>
      <c r="C180" s="3"/>
      <c r="D180" s="3"/>
      <c r="E180" s="13"/>
      <c r="F180" s="13"/>
      <c r="G180" s="13"/>
      <c r="H180" s="13"/>
      <c r="I180" s="13"/>
      <c r="J180" s="13"/>
      <c r="K180" s="64"/>
    </row>
  </sheetData>
  <mergeCells count="3">
    <mergeCell ref="A5:C5"/>
    <mergeCell ref="A157:C157"/>
    <mergeCell ref="A81:C81"/>
  </mergeCells>
  <phoneticPr fontId="0" type="noConversion"/>
  <printOptions horizontalCentered="1" verticalCentered="1"/>
  <pageMargins left="0.6" right="0.6" top="0.5" bottom="0.5" header="0" footer="0"/>
  <pageSetup scale="87" fitToHeight="0"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6">
    <tabColor indexed="47"/>
    <pageSetUpPr fitToPage="1"/>
  </sheetPr>
  <dimension ref="A1:AF214"/>
  <sheetViews>
    <sheetView zoomScale="96" zoomScaleNormal="100" workbookViewId="0">
      <selection activeCell="A160" sqref="A160"/>
    </sheetView>
  </sheetViews>
  <sheetFormatPr defaultRowHeight="12.75" customHeight="1" x14ac:dyDescent="0.25"/>
  <cols>
    <col min="1" max="1" width="11.6640625" customWidth="1"/>
    <col min="2" max="4" width="10.6640625" customWidth="1"/>
    <col min="5" max="19" width="12.6640625" customWidth="1"/>
  </cols>
  <sheetData>
    <row r="1" spans="1:16" ht="12.75" customHeight="1" x14ac:dyDescent="0.25">
      <c r="A1" s="77" t="s">
        <v>243</v>
      </c>
      <c r="B1" s="3"/>
      <c r="C1" s="126"/>
      <c r="D1" s="126"/>
      <c r="E1" s="13"/>
      <c r="F1" s="13"/>
      <c r="G1" s="13"/>
      <c r="H1" s="3"/>
      <c r="I1" s="65"/>
      <c r="J1" s="63"/>
      <c r="K1" s="63"/>
    </row>
    <row r="2" spans="1:16" ht="12.75" customHeight="1" x14ac:dyDescent="0.25">
      <c r="A2" s="77" t="s">
        <v>165</v>
      </c>
      <c r="B2" s="3"/>
      <c r="C2" s="3"/>
      <c r="D2" s="3"/>
      <c r="E2" s="13"/>
      <c r="F2" s="13"/>
      <c r="G2" s="13"/>
      <c r="H2" s="65"/>
      <c r="I2" s="13"/>
      <c r="J2" s="13"/>
      <c r="K2" s="13"/>
    </row>
    <row r="3" spans="1:16" ht="12.75" customHeight="1" thickBot="1" x14ac:dyDescent="0.3">
      <c r="A3" s="78" t="s">
        <v>428</v>
      </c>
      <c r="B3" s="7"/>
      <c r="C3" s="7"/>
      <c r="D3" s="7"/>
      <c r="E3" s="15"/>
      <c r="F3" s="15"/>
      <c r="G3" s="15"/>
      <c r="H3" s="7"/>
      <c r="I3" s="27"/>
      <c r="J3" s="27"/>
      <c r="K3" s="27"/>
    </row>
    <row r="4" spans="1:16" ht="12.75" customHeight="1" x14ac:dyDescent="0.25">
      <c r="A4" s="646" t="s">
        <v>215</v>
      </c>
      <c r="B4" s="646"/>
      <c r="C4" s="646"/>
      <c r="D4" s="242"/>
      <c r="E4" s="281">
        <f>Sum!E$5</f>
        <v>2023</v>
      </c>
      <c r="F4" s="340">
        <f>Sum!F$5</f>
        <v>2024</v>
      </c>
      <c r="G4" s="282">
        <f>Sum!G$5</f>
        <v>2025</v>
      </c>
      <c r="H4" s="281">
        <f>Sum!H$5</f>
        <v>2026</v>
      </c>
      <c r="I4" s="281">
        <f>Sum!I$5</f>
        <v>2027</v>
      </c>
      <c r="J4" s="281">
        <f>Sum!J$5</f>
        <v>2028</v>
      </c>
      <c r="K4" s="281">
        <f>Sum!K$5</f>
        <v>2029</v>
      </c>
      <c r="L4" s="281">
        <f>Sum!L$5</f>
        <v>2030</v>
      </c>
      <c r="M4" s="281">
        <f>Sum!M$5</f>
        <v>2031</v>
      </c>
      <c r="N4" s="281">
        <f>Sum!N$5</f>
        <v>2032</v>
      </c>
      <c r="O4" s="281">
        <f>Sum!O$5</f>
        <v>2033</v>
      </c>
      <c r="P4" s="281">
        <f>Sum!P$5</f>
        <v>2034</v>
      </c>
    </row>
    <row r="5" spans="1:16" ht="12.75" customHeight="1" x14ac:dyDescent="0.25">
      <c r="A5" s="16"/>
      <c r="B5" s="3"/>
      <c r="C5" s="3"/>
      <c r="D5" s="3"/>
      <c r="E5" s="13"/>
      <c r="F5" s="326"/>
      <c r="G5" s="153"/>
      <c r="H5" s="13"/>
      <c r="I5" s="13"/>
      <c r="J5" s="13"/>
      <c r="K5" s="13"/>
      <c r="L5" s="13"/>
      <c r="M5" s="13"/>
      <c r="N5" s="13"/>
      <c r="O5" s="13"/>
      <c r="P5" s="13"/>
    </row>
    <row r="6" spans="1:16" ht="12.75" customHeight="1" x14ac:dyDescent="0.25">
      <c r="A6" s="29" t="s">
        <v>169</v>
      </c>
      <c r="B6" s="3"/>
      <c r="C6" s="3"/>
      <c r="D6" s="3"/>
      <c r="E6" s="20"/>
      <c r="F6" s="329"/>
      <c r="G6" s="160"/>
      <c r="H6" s="20"/>
      <c r="I6" s="20"/>
      <c r="J6" s="20"/>
      <c r="K6" s="20"/>
      <c r="L6" s="20"/>
      <c r="M6" s="20"/>
      <c r="N6" s="20"/>
      <c r="O6" s="20"/>
      <c r="P6" s="20"/>
    </row>
    <row r="7" spans="1:16" ht="12.75" customHeight="1" x14ac:dyDescent="0.25">
      <c r="A7" s="29" t="s">
        <v>43</v>
      </c>
      <c r="B7" s="3"/>
      <c r="C7" s="3"/>
      <c r="D7" s="3"/>
      <c r="E7" s="20"/>
      <c r="F7" s="329"/>
      <c r="G7" s="160"/>
      <c r="H7" s="20"/>
      <c r="I7" s="20"/>
      <c r="J7" s="20"/>
      <c r="K7" s="20"/>
      <c r="L7" s="20"/>
      <c r="M7" s="20"/>
      <c r="N7" s="20"/>
      <c r="O7" s="20"/>
      <c r="P7" s="20"/>
    </row>
    <row r="8" spans="1:16" ht="12.75" customHeight="1" x14ac:dyDescent="0.25">
      <c r="A8" s="29"/>
      <c r="B8" s="28" t="s">
        <v>389</v>
      </c>
      <c r="C8" s="3"/>
      <c r="D8" s="3"/>
      <c r="E8" s="20">
        <f t="shared" ref="E8:I18" si="0">E36*$R36</f>
        <v>57679.98</v>
      </c>
      <c r="F8" s="329">
        <f t="shared" si="0"/>
        <v>61620</v>
      </c>
      <c r="G8" s="160">
        <f t="shared" si="0"/>
        <v>61621.25</v>
      </c>
      <c r="H8" s="20">
        <f t="shared" si="0"/>
        <v>61617.75</v>
      </c>
      <c r="I8" s="20">
        <f t="shared" si="0"/>
        <v>61609.5</v>
      </c>
      <c r="J8" s="20">
        <f t="shared" ref="J8:P8" si="1">J36*$R36</f>
        <v>61596.5</v>
      </c>
      <c r="K8" s="20">
        <f t="shared" si="1"/>
        <v>61578.75</v>
      </c>
      <c r="L8" s="20">
        <f t="shared" si="1"/>
        <v>61556.25</v>
      </c>
      <c r="M8" s="20">
        <f t="shared" si="1"/>
        <v>61529</v>
      </c>
      <c r="N8" s="20">
        <f t="shared" si="1"/>
        <v>61497</v>
      </c>
      <c r="O8" s="20">
        <f t="shared" si="1"/>
        <v>61460.25</v>
      </c>
      <c r="P8" s="20">
        <f t="shared" si="1"/>
        <v>61418.75</v>
      </c>
    </row>
    <row r="9" spans="1:16" ht="12.75" customHeight="1" x14ac:dyDescent="0.25">
      <c r="A9" s="29"/>
      <c r="B9" s="28" t="s">
        <v>388</v>
      </c>
      <c r="C9" s="3"/>
      <c r="D9" s="3"/>
      <c r="E9" s="20">
        <f t="shared" ref="E9:P9" si="2">E37*$R37</f>
        <v>0</v>
      </c>
      <c r="F9" s="329">
        <f t="shared" si="2"/>
        <v>0</v>
      </c>
      <c r="G9" s="160">
        <f t="shared" si="2"/>
        <v>0</v>
      </c>
      <c r="H9" s="20">
        <f t="shared" si="2"/>
        <v>0</v>
      </c>
      <c r="I9" s="20">
        <f t="shared" si="2"/>
        <v>0</v>
      </c>
      <c r="J9" s="20">
        <f t="shared" si="2"/>
        <v>0</v>
      </c>
      <c r="K9" s="20">
        <f t="shared" si="2"/>
        <v>0</v>
      </c>
      <c r="L9" s="20">
        <f t="shared" si="2"/>
        <v>0</v>
      </c>
      <c r="M9" s="20">
        <f t="shared" si="2"/>
        <v>0</v>
      </c>
      <c r="N9" s="20">
        <f t="shared" si="2"/>
        <v>0</v>
      </c>
      <c r="O9" s="20">
        <f t="shared" si="2"/>
        <v>0</v>
      </c>
      <c r="P9" s="20">
        <f t="shared" si="2"/>
        <v>0</v>
      </c>
    </row>
    <row r="10" spans="1:16" ht="12.75" customHeight="1" x14ac:dyDescent="0.25">
      <c r="A10" s="29"/>
      <c r="B10" s="28" t="s">
        <v>387</v>
      </c>
      <c r="C10" s="3"/>
      <c r="D10" s="3"/>
      <c r="E10" s="20">
        <f t="shared" si="0"/>
        <v>0</v>
      </c>
      <c r="F10" s="329">
        <f t="shared" si="0"/>
        <v>0</v>
      </c>
      <c r="G10" s="160">
        <f t="shared" si="0"/>
        <v>0</v>
      </c>
      <c r="H10" s="20">
        <f t="shared" si="0"/>
        <v>0</v>
      </c>
      <c r="I10" s="20">
        <f t="shared" si="0"/>
        <v>0</v>
      </c>
      <c r="J10" s="20">
        <f t="shared" ref="J10:P10" si="3">J38*$R38</f>
        <v>0</v>
      </c>
      <c r="K10" s="20">
        <f t="shared" si="3"/>
        <v>0</v>
      </c>
      <c r="L10" s="20">
        <f t="shared" si="3"/>
        <v>0</v>
      </c>
      <c r="M10" s="20">
        <f t="shared" si="3"/>
        <v>0</v>
      </c>
      <c r="N10" s="20">
        <f t="shared" si="3"/>
        <v>0</v>
      </c>
      <c r="O10" s="20">
        <f t="shared" si="3"/>
        <v>0</v>
      </c>
      <c r="P10" s="20">
        <f t="shared" si="3"/>
        <v>0</v>
      </c>
    </row>
    <row r="11" spans="1:16" ht="12.75" customHeight="1" x14ac:dyDescent="0.25">
      <c r="A11" s="29"/>
      <c r="B11" s="28" t="s">
        <v>387</v>
      </c>
      <c r="C11" s="3"/>
      <c r="D11" s="3"/>
      <c r="E11" s="20">
        <f t="shared" si="0"/>
        <v>0</v>
      </c>
      <c r="F11" s="329">
        <f t="shared" si="0"/>
        <v>0</v>
      </c>
      <c r="G11" s="160">
        <f t="shared" si="0"/>
        <v>0</v>
      </c>
      <c r="H11" s="20">
        <f t="shared" si="0"/>
        <v>0</v>
      </c>
      <c r="I11" s="20">
        <f t="shared" si="0"/>
        <v>0</v>
      </c>
      <c r="J11" s="20">
        <f t="shared" ref="J11:P11" si="4">J39*$R39</f>
        <v>0</v>
      </c>
      <c r="K11" s="20">
        <f t="shared" si="4"/>
        <v>0</v>
      </c>
      <c r="L11" s="20">
        <f t="shared" si="4"/>
        <v>0</v>
      </c>
      <c r="M11" s="20">
        <f t="shared" si="4"/>
        <v>0</v>
      </c>
      <c r="N11" s="20">
        <f t="shared" si="4"/>
        <v>0</v>
      </c>
      <c r="O11" s="20">
        <f t="shared" si="4"/>
        <v>0</v>
      </c>
      <c r="P11" s="20">
        <f t="shared" si="4"/>
        <v>0</v>
      </c>
    </row>
    <row r="12" spans="1:16" ht="12.75" customHeight="1" x14ac:dyDescent="0.25">
      <c r="A12" s="29"/>
      <c r="B12" s="28" t="s">
        <v>387</v>
      </c>
      <c r="C12" s="3"/>
      <c r="D12" s="3"/>
      <c r="E12" s="20">
        <f t="shared" si="0"/>
        <v>0</v>
      </c>
      <c r="F12" s="329">
        <f t="shared" si="0"/>
        <v>0</v>
      </c>
      <c r="G12" s="160">
        <f t="shared" si="0"/>
        <v>0</v>
      </c>
      <c r="H12" s="20">
        <f t="shared" si="0"/>
        <v>0</v>
      </c>
      <c r="I12" s="20">
        <f t="shared" si="0"/>
        <v>0</v>
      </c>
      <c r="J12" s="20">
        <f t="shared" ref="J12:P12" si="5">J40*$R40</f>
        <v>0</v>
      </c>
      <c r="K12" s="20">
        <f t="shared" si="5"/>
        <v>0</v>
      </c>
      <c r="L12" s="20">
        <f t="shared" si="5"/>
        <v>0</v>
      </c>
      <c r="M12" s="20">
        <f t="shared" si="5"/>
        <v>0</v>
      </c>
      <c r="N12" s="20">
        <f t="shared" si="5"/>
        <v>0</v>
      </c>
      <c r="O12" s="20">
        <f t="shared" si="5"/>
        <v>0</v>
      </c>
      <c r="P12" s="20">
        <f t="shared" si="5"/>
        <v>0</v>
      </c>
    </row>
    <row r="13" spans="1:16" ht="12.75" customHeight="1" x14ac:dyDescent="0.25">
      <c r="A13" s="29"/>
      <c r="B13" s="28" t="s">
        <v>387</v>
      </c>
      <c r="C13" s="3"/>
      <c r="D13" s="3"/>
      <c r="E13" s="20">
        <f t="shared" si="0"/>
        <v>0</v>
      </c>
      <c r="F13" s="329">
        <f t="shared" si="0"/>
        <v>0</v>
      </c>
      <c r="G13" s="160">
        <f t="shared" si="0"/>
        <v>0</v>
      </c>
      <c r="H13" s="20">
        <f t="shared" si="0"/>
        <v>0</v>
      </c>
      <c r="I13" s="20">
        <f t="shared" si="0"/>
        <v>0</v>
      </c>
      <c r="J13" s="20">
        <f t="shared" ref="J13:P13" si="6">J41*$R41</f>
        <v>0</v>
      </c>
      <c r="K13" s="20">
        <f t="shared" si="6"/>
        <v>0</v>
      </c>
      <c r="L13" s="20">
        <f t="shared" si="6"/>
        <v>0</v>
      </c>
      <c r="M13" s="20">
        <f t="shared" si="6"/>
        <v>0</v>
      </c>
      <c r="N13" s="20">
        <f t="shared" si="6"/>
        <v>0</v>
      </c>
      <c r="O13" s="20">
        <f t="shared" si="6"/>
        <v>0</v>
      </c>
      <c r="P13" s="20">
        <f t="shared" si="6"/>
        <v>0</v>
      </c>
    </row>
    <row r="14" spans="1:16" ht="12.75" customHeight="1" x14ac:dyDescent="0.25">
      <c r="A14" s="29"/>
      <c r="B14" s="3" t="s">
        <v>387</v>
      </c>
      <c r="C14" s="3"/>
      <c r="D14" s="3"/>
      <c r="E14" s="20">
        <f t="shared" si="0"/>
        <v>0</v>
      </c>
      <c r="F14" s="329">
        <f t="shared" si="0"/>
        <v>0</v>
      </c>
      <c r="G14" s="160">
        <f t="shared" si="0"/>
        <v>0</v>
      </c>
      <c r="H14" s="20">
        <f t="shared" si="0"/>
        <v>0</v>
      </c>
      <c r="I14" s="20">
        <f t="shared" si="0"/>
        <v>0</v>
      </c>
      <c r="J14" s="20">
        <f t="shared" ref="J14:P14" si="7">J42*$R42</f>
        <v>0</v>
      </c>
      <c r="K14" s="20">
        <f t="shared" si="7"/>
        <v>0</v>
      </c>
      <c r="L14" s="20">
        <f t="shared" si="7"/>
        <v>0</v>
      </c>
      <c r="M14" s="20">
        <f t="shared" si="7"/>
        <v>0</v>
      </c>
      <c r="N14" s="20">
        <f t="shared" si="7"/>
        <v>0</v>
      </c>
      <c r="O14" s="20">
        <f t="shared" si="7"/>
        <v>0</v>
      </c>
      <c r="P14" s="20">
        <f t="shared" si="7"/>
        <v>0</v>
      </c>
    </row>
    <row r="15" spans="1:16" ht="12.75" customHeight="1" x14ac:dyDescent="0.25">
      <c r="A15" s="29"/>
      <c r="B15" s="3" t="s">
        <v>387</v>
      </c>
      <c r="C15" s="3"/>
      <c r="D15" s="3"/>
      <c r="E15" s="20">
        <f t="shared" si="0"/>
        <v>0</v>
      </c>
      <c r="F15" s="329">
        <f t="shared" si="0"/>
        <v>0</v>
      </c>
      <c r="G15" s="160">
        <f t="shared" si="0"/>
        <v>0</v>
      </c>
      <c r="H15" s="20">
        <f t="shared" si="0"/>
        <v>0</v>
      </c>
      <c r="I15" s="20">
        <f t="shared" si="0"/>
        <v>0</v>
      </c>
      <c r="J15" s="20">
        <f t="shared" ref="J15:P15" si="8">J43*$R43</f>
        <v>0</v>
      </c>
      <c r="K15" s="20">
        <f t="shared" si="8"/>
        <v>0</v>
      </c>
      <c r="L15" s="20">
        <f t="shared" si="8"/>
        <v>0</v>
      </c>
      <c r="M15" s="20">
        <f t="shared" si="8"/>
        <v>0</v>
      </c>
      <c r="N15" s="20">
        <f t="shared" si="8"/>
        <v>0</v>
      </c>
      <c r="O15" s="20">
        <f t="shared" si="8"/>
        <v>0</v>
      </c>
      <c r="P15" s="20">
        <f t="shared" si="8"/>
        <v>0</v>
      </c>
    </row>
    <row r="16" spans="1:16" ht="12.75" customHeight="1" x14ac:dyDescent="0.25">
      <c r="A16" s="29"/>
      <c r="B16" s="3" t="s">
        <v>387</v>
      </c>
      <c r="C16" s="3"/>
      <c r="D16" s="3"/>
      <c r="E16" s="20">
        <f t="shared" si="0"/>
        <v>0</v>
      </c>
      <c r="F16" s="329">
        <f t="shared" si="0"/>
        <v>0</v>
      </c>
      <c r="G16" s="160">
        <f t="shared" si="0"/>
        <v>0</v>
      </c>
      <c r="H16" s="20">
        <f t="shared" si="0"/>
        <v>0</v>
      </c>
      <c r="I16" s="20">
        <f t="shared" si="0"/>
        <v>0</v>
      </c>
      <c r="J16" s="20">
        <f t="shared" ref="J16:P16" si="9">J44*$R44</f>
        <v>0</v>
      </c>
      <c r="K16" s="20">
        <f t="shared" si="9"/>
        <v>0</v>
      </c>
      <c r="L16" s="20">
        <f t="shared" si="9"/>
        <v>0</v>
      </c>
      <c r="M16" s="20">
        <f t="shared" si="9"/>
        <v>0</v>
      </c>
      <c r="N16" s="20">
        <f t="shared" si="9"/>
        <v>0</v>
      </c>
      <c r="O16" s="20">
        <f t="shared" si="9"/>
        <v>0</v>
      </c>
      <c r="P16" s="20">
        <f t="shared" si="9"/>
        <v>0</v>
      </c>
    </row>
    <row r="17" spans="1:16" ht="12.75" customHeight="1" x14ac:dyDescent="0.25">
      <c r="A17" s="29"/>
      <c r="B17" s="3" t="s">
        <v>387</v>
      </c>
      <c r="C17" s="3"/>
      <c r="D17" s="3"/>
      <c r="E17" s="20">
        <f t="shared" si="0"/>
        <v>0</v>
      </c>
      <c r="F17" s="329">
        <f t="shared" si="0"/>
        <v>0</v>
      </c>
      <c r="G17" s="160">
        <f t="shared" si="0"/>
        <v>0</v>
      </c>
      <c r="H17" s="20">
        <f t="shared" si="0"/>
        <v>0</v>
      </c>
      <c r="I17" s="20">
        <f t="shared" si="0"/>
        <v>0</v>
      </c>
      <c r="J17" s="20">
        <f t="shared" ref="J17:P17" si="10">J45*$R45</f>
        <v>0</v>
      </c>
      <c r="K17" s="20">
        <f t="shared" si="10"/>
        <v>0</v>
      </c>
      <c r="L17" s="20">
        <f t="shared" si="10"/>
        <v>0</v>
      </c>
      <c r="M17" s="20">
        <f t="shared" si="10"/>
        <v>0</v>
      </c>
      <c r="N17" s="20">
        <f t="shared" si="10"/>
        <v>0</v>
      </c>
      <c r="O17" s="20">
        <f t="shared" si="10"/>
        <v>0</v>
      </c>
      <c r="P17" s="20">
        <f t="shared" si="10"/>
        <v>0</v>
      </c>
    </row>
    <row r="18" spans="1:16" ht="12.75" customHeight="1" x14ac:dyDescent="0.25">
      <c r="A18" s="29"/>
      <c r="B18" s="22" t="s">
        <v>387</v>
      </c>
      <c r="C18" s="22"/>
      <c r="D18" s="22"/>
      <c r="E18" s="76">
        <f t="shared" si="0"/>
        <v>0</v>
      </c>
      <c r="F18" s="330">
        <f t="shared" si="0"/>
        <v>0</v>
      </c>
      <c r="G18" s="177">
        <f t="shared" si="0"/>
        <v>0</v>
      </c>
      <c r="H18" s="76">
        <f t="shared" si="0"/>
        <v>0</v>
      </c>
      <c r="I18" s="76">
        <f t="shared" si="0"/>
        <v>0</v>
      </c>
      <c r="J18" s="76">
        <f t="shared" ref="J18:P18" si="11">J46*$R46</f>
        <v>0</v>
      </c>
      <c r="K18" s="76">
        <f t="shared" si="11"/>
        <v>0</v>
      </c>
      <c r="L18" s="76">
        <f t="shared" si="11"/>
        <v>0</v>
      </c>
      <c r="M18" s="76">
        <f t="shared" si="11"/>
        <v>0</v>
      </c>
      <c r="N18" s="76">
        <f t="shared" si="11"/>
        <v>0</v>
      </c>
      <c r="O18" s="76">
        <f t="shared" si="11"/>
        <v>0</v>
      </c>
      <c r="P18" s="76">
        <f t="shared" si="11"/>
        <v>0</v>
      </c>
    </row>
    <row r="19" spans="1:16" ht="12.75" customHeight="1" x14ac:dyDescent="0.25">
      <c r="A19" s="29"/>
      <c r="B19" s="3" t="s">
        <v>219</v>
      </c>
      <c r="C19" s="3"/>
      <c r="D19" s="3"/>
      <c r="E19" s="20">
        <f>SUM(E8:E18)</f>
        <v>57679.98</v>
      </c>
      <c r="F19" s="329">
        <f t="shared" ref="F19:I19" si="12">SUM(F8:F18)</f>
        <v>61620</v>
      </c>
      <c r="G19" s="160">
        <f t="shared" si="12"/>
        <v>61621.25</v>
      </c>
      <c r="H19" s="20">
        <f t="shared" si="12"/>
        <v>61617.75</v>
      </c>
      <c r="I19" s="20">
        <f t="shared" si="12"/>
        <v>61609.5</v>
      </c>
      <c r="J19" s="20">
        <f t="shared" ref="J19:P19" si="13">SUM(J8:J18)</f>
        <v>61596.5</v>
      </c>
      <c r="K19" s="20">
        <f t="shared" si="13"/>
        <v>61578.75</v>
      </c>
      <c r="L19" s="20">
        <f t="shared" si="13"/>
        <v>61556.25</v>
      </c>
      <c r="M19" s="20">
        <f t="shared" si="13"/>
        <v>61529</v>
      </c>
      <c r="N19" s="20">
        <f t="shared" si="13"/>
        <v>61497</v>
      </c>
      <c r="O19" s="20">
        <f t="shared" si="13"/>
        <v>61460.25</v>
      </c>
      <c r="P19" s="20">
        <f t="shared" si="13"/>
        <v>61418.75</v>
      </c>
    </row>
    <row r="20" spans="1:16" ht="12.75" customHeight="1" x14ac:dyDescent="0.25">
      <c r="A20" s="29"/>
      <c r="B20" s="3"/>
      <c r="C20" s="3"/>
      <c r="D20" s="3"/>
      <c r="E20" s="20"/>
      <c r="F20" s="329"/>
      <c r="G20" s="160"/>
      <c r="H20" s="20"/>
      <c r="I20" s="20"/>
      <c r="J20" s="20"/>
      <c r="K20" s="20"/>
      <c r="L20" s="20"/>
      <c r="M20" s="20"/>
      <c r="N20" s="20"/>
      <c r="O20" s="20"/>
      <c r="P20" s="20"/>
    </row>
    <row r="21" spans="1:16" ht="12.75" customHeight="1" x14ac:dyDescent="0.25">
      <c r="A21" s="29" t="s">
        <v>44</v>
      </c>
      <c r="B21" s="3"/>
      <c r="C21" s="3"/>
      <c r="D21" s="3"/>
      <c r="E21" s="20"/>
      <c r="F21" s="329"/>
      <c r="G21" s="160"/>
      <c r="H21" s="20"/>
      <c r="I21" s="20"/>
      <c r="J21" s="20"/>
      <c r="K21" s="20"/>
      <c r="L21" s="20"/>
      <c r="M21" s="20"/>
      <c r="N21" s="20"/>
      <c r="O21" s="20"/>
      <c r="P21" s="20"/>
    </row>
    <row r="22" spans="1:16" ht="12.75" customHeight="1" x14ac:dyDescent="0.25">
      <c r="A22" s="29"/>
      <c r="B22" s="28" t="str">
        <f t="shared" ref="B22:B32" si="14">B8</f>
        <v>Series 2020</v>
      </c>
      <c r="C22" s="3"/>
      <c r="D22" s="3"/>
      <c r="E22" s="20">
        <f t="shared" ref="E22:I32" si="15">E36*$S36</f>
        <v>57679.98</v>
      </c>
      <c r="F22" s="329">
        <f t="shared" si="15"/>
        <v>61620</v>
      </c>
      <c r="G22" s="160">
        <f t="shared" si="15"/>
        <v>61621.25</v>
      </c>
      <c r="H22" s="20">
        <f t="shared" si="15"/>
        <v>61617.75</v>
      </c>
      <c r="I22" s="20">
        <f t="shared" si="15"/>
        <v>61609.5</v>
      </c>
      <c r="J22" s="20">
        <f t="shared" ref="J22:P22" si="16">J36*$S36</f>
        <v>61596.5</v>
      </c>
      <c r="K22" s="20">
        <f t="shared" si="16"/>
        <v>61578.75</v>
      </c>
      <c r="L22" s="20">
        <f t="shared" si="16"/>
        <v>61556.25</v>
      </c>
      <c r="M22" s="20">
        <f t="shared" si="16"/>
        <v>61529</v>
      </c>
      <c r="N22" s="20">
        <f t="shared" si="16"/>
        <v>61497</v>
      </c>
      <c r="O22" s="20">
        <f t="shared" si="16"/>
        <v>61460.25</v>
      </c>
      <c r="P22" s="20">
        <f t="shared" si="16"/>
        <v>61418.75</v>
      </c>
    </row>
    <row r="23" spans="1:16" ht="12.75" customHeight="1" x14ac:dyDescent="0.25">
      <c r="A23" s="29"/>
      <c r="B23" s="28" t="str">
        <f t="shared" si="14"/>
        <v>Series 2013</v>
      </c>
      <c r="C23" s="3"/>
      <c r="D23" s="3"/>
      <c r="E23" s="20">
        <f t="shared" ref="E23:P23" si="17">E37*$S37</f>
        <v>0</v>
      </c>
      <c r="F23" s="329">
        <f t="shared" si="17"/>
        <v>0</v>
      </c>
      <c r="G23" s="160">
        <f t="shared" si="17"/>
        <v>0</v>
      </c>
      <c r="H23" s="20">
        <f t="shared" si="17"/>
        <v>0</v>
      </c>
      <c r="I23" s="20">
        <f t="shared" si="17"/>
        <v>0</v>
      </c>
      <c r="J23" s="20">
        <f t="shared" si="17"/>
        <v>0</v>
      </c>
      <c r="K23" s="20">
        <f t="shared" si="17"/>
        <v>0</v>
      </c>
      <c r="L23" s="20">
        <f t="shared" si="17"/>
        <v>0</v>
      </c>
      <c r="M23" s="20">
        <f t="shared" si="17"/>
        <v>0</v>
      </c>
      <c r="N23" s="20">
        <f t="shared" si="17"/>
        <v>0</v>
      </c>
      <c r="O23" s="20">
        <f t="shared" si="17"/>
        <v>0</v>
      </c>
      <c r="P23" s="20">
        <f t="shared" si="17"/>
        <v>0</v>
      </c>
    </row>
    <row r="24" spans="1:16" ht="12.75" customHeight="1" x14ac:dyDescent="0.25">
      <c r="A24" s="29"/>
      <c r="B24" s="28" t="str">
        <f t="shared" si="14"/>
        <v>Series XXXX</v>
      </c>
      <c r="C24" s="3"/>
      <c r="D24" s="3"/>
      <c r="E24" s="20">
        <f t="shared" si="15"/>
        <v>0</v>
      </c>
      <c r="F24" s="329">
        <f t="shared" si="15"/>
        <v>0</v>
      </c>
      <c r="G24" s="160">
        <f t="shared" si="15"/>
        <v>0</v>
      </c>
      <c r="H24" s="20">
        <f t="shared" si="15"/>
        <v>0</v>
      </c>
      <c r="I24" s="20">
        <f t="shared" si="15"/>
        <v>0</v>
      </c>
      <c r="J24" s="20">
        <f t="shared" ref="J24:P24" si="18">J38*$S38</f>
        <v>0</v>
      </c>
      <c r="K24" s="20">
        <f t="shared" si="18"/>
        <v>0</v>
      </c>
      <c r="L24" s="20">
        <f t="shared" si="18"/>
        <v>0</v>
      </c>
      <c r="M24" s="20">
        <f t="shared" si="18"/>
        <v>0</v>
      </c>
      <c r="N24" s="20">
        <f t="shared" si="18"/>
        <v>0</v>
      </c>
      <c r="O24" s="20">
        <f t="shared" si="18"/>
        <v>0</v>
      </c>
      <c r="P24" s="20">
        <f t="shared" si="18"/>
        <v>0</v>
      </c>
    </row>
    <row r="25" spans="1:16" ht="12.75" customHeight="1" x14ac:dyDescent="0.25">
      <c r="A25" s="29"/>
      <c r="B25" s="28" t="str">
        <f t="shared" si="14"/>
        <v>Series XXXX</v>
      </c>
      <c r="C25" s="3"/>
      <c r="D25" s="3"/>
      <c r="E25" s="20">
        <f t="shared" si="15"/>
        <v>0</v>
      </c>
      <c r="F25" s="329">
        <f t="shared" si="15"/>
        <v>0</v>
      </c>
      <c r="G25" s="160">
        <f t="shared" si="15"/>
        <v>0</v>
      </c>
      <c r="H25" s="20">
        <f t="shared" si="15"/>
        <v>0</v>
      </c>
      <c r="I25" s="20">
        <f t="shared" si="15"/>
        <v>0</v>
      </c>
      <c r="J25" s="20">
        <f t="shared" ref="J25:P25" si="19">J39*$S39</f>
        <v>0</v>
      </c>
      <c r="K25" s="20">
        <f t="shared" si="19"/>
        <v>0</v>
      </c>
      <c r="L25" s="20">
        <f t="shared" si="19"/>
        <v>0</v>
      </c>
      <c r="M25" s="20">
        <f t="shared" si="19"/>
        <v>0</v>
      </c>
      <c r="N25" s="20">
        <f t="shared" si="19"/>
        <v>0</v>
      </c>
      <c r="O25" s="20">
        <f t="shared" si="19"/>
        <v>0</v>
      </c>
      <c r="P25" s="20">
        <f t="shared" si="19"/>
        <v>0</v>
      </c>
    </row>
    <row r="26" spans="1:16" ht="12.75" customHeight="1" x14ac:dyDescent="0.25">
      <c r="A26" s="29"/>
      <c r="B26" s="28" t="str">
        <f t="shared" si="14"/>
        <v>Series XXXX</v>
      </c>
      <c r="C26" s="3"/>
      <c r="D26" s="3"/>
      <c r="E26" s="20">
        <f t="shared" si="15"/>
        <v>0</v>
      </c>
      <c r="F26" s="329">
        <f t="shared" si="15"/>
        <v>0</v>
      </c>
      <c r="G26" s="160">
        <f t="shared" si="15"/>
        <v>0</v>
      </c>
      <c r="H26" s="20">
        <f t="shared" si="15"/>
        <v>0</v>
      </c>
      <c r="I26" s="20">
        <f t="shared" si="15"/>
        <v>0</v>
      </c>
      <c r="J26" s="20">
        <f t="shared" ref="J26:P26" si="20">J40*$S40</f>
        <v>0</v>
      </c>
      <c r="K26" s="20">
        <f t="shared" si="20"/>
        <v>0</v>
      </c>
      <c r="L26" s="20">
        <f t="shared" si="20"/>
        <v>0</v>
      </c>
      <c r="M26" s="20">
        <f t="shared" si="20"/>
        <v>0</v>
      </c>
      <c r="N26" s="20">
        <f t="shared" si="20"/>
        <v>0</v>
      </c>
      <c r="O26" s="20">
        <f t="shared" si="20"/>
        <v>0</v>
      </c>
      <c r="P26" s="20">
        <f t="shared" si="20"/>
        <v>0</v>
      </c>
    </row>
    <row r="27" spans="1:16" ht="12.75" customHeight="1" x14ac:dyDescent="0.25">
      <c r="A27" s="29"/>
      <c r="B27" s="28" t="str">
        <f t="shared" si="14"/>
        <v>Series XXXX</v>
      </c>
      <c r="C27" s="3"/>
      <c r="D27" s="3"/>
      <c r="E27" s="20">
        <f t="shared" si="15"/>
        <v>0</v>
      </c>
      <c r="F27" s="329">
        <f t="shared" si="15"/>
        <v>0</v>
      </c>
      <c r="G27" s="160">
        <f t="shared" si="15"/>
        <v>0</v>
      </c>
      <c r="H27" s="20">
        <f t="shared" si="15"/>
        <v>0</v>
      </c>
      <c r="I27" s="20">
        <f t="shared" si="15"/>
        <v>0</v>
      </c>
      <c r="J27" s="20">
        <f t="shared" ref="J27:P27" si="21">J41*$S41</f>
        <v>0</v>
      </c>
      <c r="K27" s="20">
        <f t="shared" si="21"/>
        <v>0</v>
      </c>
      <c r="L27" s="20">
        <f t="shared" si="21"/>
        <v>0</v>
      </c>
      <c r="M27" s="20">
        <f t="shared" si="21"/>
        <v>0</v>
      </c>
      <c r="N27" s="20">
        <f t="shared" si="21"/>
        <v>0</v>
      </c>
      <c r="O27" s="20">
        <f t="shared" si="21"/>
        <v>0</v>
      </c>
      <c r="P27" s="20">
        <f t="shared" si="21"/>
        <v>0</v>
      </c>
    </row>
    <row r="28" spans="1:16" ht="12.75" customHeight="1" x14ac:dyDescent="0.25">
      <c r="A28" s="29"/>
      <c r="B28" s="3" t="str">
        <f t="shared" si="14"/>
        <v>Series XXXX</v>
      </c>
      <c r="C28" s="3"/>
      <c r="D28" s="3"/>
      <c r="E28" s="20">
        <f t="shared" si="15"/>
        <v>0</v>
      </c>
      <c r="F28" s="329">
        <f t="shared" si="15"/>
        <v>0</v>
      </c>
      <c r="G28" s="160">
        <f t="shared" si="15"/>
        <v>0</v>
      </c>
      <c r="H28" s="20">
        <f t="shared" si="15"/>
        <v>0</v>
      </c>
      <c r="I28" s="20">
        <f t="shared" si="15"/>
        <v>0</v>
      </c>
      <c r="J28" s="20">
        <f t="shared" ref="J28:P28" si="22">J42*$S42</f>
        <v>0</v>
      </c>
      <c r="K28" s="20">
        <f t="shared" si="22"/>
        <v>0</v>
      </c>
      <c r="L28" s="20">
        <f t="shared" si="22"/>
        <v>0</v>
      </c>
      <c r="M28" s="20">
        <f t="shared" si="22"/>
        <v>0</v>
      </c>
      <c r="N28" s="20">
        <f t="shared" si="22"/>
        <v>0</v>
      </c>
      <c r="O28" s="20">
        <f t="shared" si="22"/>
        <v>0</v>
      </c>
      <c r="P28" s="20">
        <f t="shared" si="22"/>
        <v>0</v>
      </c>
    </row>
    <row r="29" spans="1:16" ht="12.75" customHeight="1" x14ac:dyDescent="0.25">
      <c r="A29" s="29"/>
      <c r="B29" s="3" t="str">
        <f t="shared" si="14"/>
        <v>Series XXXX</v>
      </c>
      <c r="C29" s="3"/>
      <c r="D29" s="3"/>
      <c r="E29" s="20">
        <f t="shared" si="15"/>
        <v>0</v>
      </c>
      <c r="F29" s="329">
        <f t="shared" si="15"/>
        <v>0</v>
      </c>
      <c r="G29" s="160">
        <f t="shared" si="15"/>
        <v>0</v>
      </c>
      <c r="H29" s="20">
        <f t="shared" si="15"/>
        <v>0</v>
      </c>
      <c r="I29" s="20">
        <f t="shared" si="15"/>
        <v>0</v>
      </c>
      <c r="J29" s="20">
        <f t="shared" ref="J29:P29" si="23">J43*$S43</f>
        <v>0</v>
      </c>
      <c r="K29" s="20">
        <f t="shared" si="23"/>
        <v>0</v>
      </c>
      <c r="L29" s="20">
        <f t="shared" si="23"/>
        <v>0</v>
      </c>
      <c r="M29" s="20">
        <f t="shared" si="23"/>
        <v>0</v>
      </c>
      <c r="N29" s="20">
        <f t="shared" si="23"/>
        <v>0</v>
      </c>
      <c r="O29" s="20">
        <f t="shared" si="23"/>
        <v>0</v>
      </c>
      <c r="P29" s="20">
        <f t="shared" si="23"/>
        <v>0</v>
      </c>
    </row>
    <row r="30" spans="1:16" ht="12.75" customHeight="1" x14ac:dyDescent="0.25">
      <c r="A30" s="29"/>
      <c r="B30" s="3" t="str">
        <f t="shared" si="14"/>
        <v>Series XXXX</v>
      </c>
      <c r="C30" s="3"/>
      <c r="D30" s="3"/>
      <c r="E30" s="20">
        <f t="shared" si="15"/>
        <v>0</v>
      </c>
      <c r="F30" s="329">
        <f t="shared" si="15"/>
        <v>0</v>
      </c>
      <c r="G30" s="160">
        <f t="shared" si="15"/>
        <v>0</v>
      </c>
      <c r="H30" s="20">
        <f t="shared" si="15"/>
        <v>0</v>
      </c>
      <c r="I30" s="20">
        <f t="shared" si="15"/>
        <v>0</v>
      </c>
      <c r="J30" s="20">
        <f t="shared" ref="J30:P30" si="24">J44*$S44</f>
        <v>0</v>
      </c>
      <c r="K30" s="20">
        <f t="shared" si="24"/>
        <v>0</v>
      </c>
      <c r="L30" s="20">
        <f t="shared" si="24"/>
        <v>0</v>
      </c>
      <c r="M30" s="20">
        <f t="shared" si="24"/>
        <v>0</v>
      </c>
      <c r="N30" s="20">
        <f t="shared" si="24"/>
        <v>0</v>
      </c>
      <c r="O30" s="20">
        <f t="shared" si="24"/>
        <v>0</v>
      </c>
      <c r="P30" s="20">
        <f t="shared" si="24"/>
        <v>0</v>
      </c>
    </row>
    <row r="31" spans="1:16" ht="12.75" customHeight="1" x14ac:dyDescent="0.25">
      <c r="A31" s="29"/>
      <c r="B31" s="3" t="str">
        <f t="shared" si="14"/>
        <v>Series XXXX</v>
      </c>
      <c r="C31" s="3"/>
      <c r="D31" s="3"/>
      <c r="E31" s="20">
        <f t="shared" si="15"/>
        <v>0</v>
      </c>
      <c r="F31" s="329">
        <f t="shared" si="15"/>
        <v>0</v>
      </c>
      <c r="G31" s="160">
        <f t="shared" si="15"/>
        <v>0</v>
      </c>
      <c r="H31" s="20">
        <f t="shared" si="15"/>
        <v>0</v>
      </c>
      <c r="I31" s="20">
        <f t="shared" si="15"/>
        <v>0</v>
      </c>
      <c r="J31" s="20">
        <f t="shared" ref="J31:P31" si="25">J45*$S45</f>
        <v>0</v>
      </c>
      <c r="K31" s="20">
        <f t="shared" si="25"/>
        <v>0</v>
      </c>
      <c r="L31" s="20">
        <f t="shared" si="25"/>
        <v>0</v>
      </c>
      <c r="M31" s="20">
        <f t="shared" si="25"/>
        <v>0</v>
      </c>
      <c r="N31" s="20">
        <f t="shared" si="25"/>
        <v>0</v>
      </c>
      <c r="O31" s="20">
        <f t="shared" si="25"/>
        <v>0</v>
      </c>
      <c r="P31" s="20">
        <f t="shared" si="25"/>
        <v>0</v>
      </c>
    </row>
    <row r="32" spans="1:16" ht="12.75" customHeight="1" x14ac:dyDescent="0.25">
      <c r="A32" s="29"/>
      <c r="B32" s="22" t="str">
        <f t="shared" si="14"/>
        <v>Series XXXX</v>
      </c>
      <c r="C32" s="22"/>
      <c r="D32" s="22"/>
      <c r="E32" s="76">
        <f t="shared" si="15"/>
        <v>0</v>
      </c>
      <c r="F32" s="330">
        <f t="shared" si="15"/>
        <v>0</v>
      </c>
      <c r="G32" s="177">
        <f t="shared" si="15"/>
        <v>0</v>
      </c>
      <c r="H32" s="76">
        <f t="shared" si="15"/>
        <v>0</v>
      </c>
      <c r="I32" s="76">
        <f t="shared" si="15"/>
        <v>0</v>
      </c>
      <c r="J32" s="76">
        <f t="shared" ref="J32:P32" si="26">J46*$S46</f>
        <v>0</v>
      </c>
      <c r="K32" s="76">
        <f t="shared" si="26"/>
        <v>0</v>
      </c>
      <c r="L32" s="76">
        <f t="shared" si="26"/>
        <v>0</v>
      </c>
      <c r="M32" s="76">
        <f t="shared" si="26"/>
        <v>0</v>
      </c>
      <c r="N32" s="76">
        <f t="shared" si="26"/>
        <v>0</v>
      </c>
      <c r="O32" s="76">
        <f t="shared" si="26"/>
        <v>0</v>
      </c>
      <c r="P32" s="76">
        <f t="shared" si="26"/>
        <v>0</v>
      </c>
    </row>
    <row r="33" spans="1:32" ht="12.75" customHeight="1" x14ac:dyDescent="0.25">
      <c r="A33" s="29"/>
      <c r="B33" s="3" t="s">
        <v>219</v>
      </c>
      <c r="C33" s="3"/>
      <c r="D33" s="3"/>
      <c r="E33" s="20">
        <f t="shared" ref="E33:I33" si="27">SUM(E22:E32)</f>
        <v>57679.98</v>
      </c>
      <c r="F33" s="329">
        <f t="shared" si="27"/>
        <v>61620</v>
      </c>
      <c r="G33" s="160">
        <f t="shared" si="27"/>
        <v>61621.25</v>
      </c>
      <c r="H33" s="20">
        <f t="shared" si="27"/>
        <v>61617.75</v>
      </c>
      <c r="I33" s="20">
        <f t="shared" si="27"/>
        <v>61609.5</v>
      </c>
      <c r="J33" s="20">
        <f t="shared" ref="J33:P33" si="28">SUM(J22:J32)</f>
        <v>61596.5</v>
      </c>
      <c r="K33" s="20">
        <f t="shared" si="28"/>
        <v>61578.75</v>
      </c>
      <c r="L33" s="20">
        <f t="shared" si="28"/>
        <v>61556.25</v>
      </c>
      <c r="M33" s="20">
        <f t="shared" si="28"/>
        <v>61529</v>
      </c>
      <c r="N33" s="20">
        <f t="shared" si="28"/>
        <v>61497</v>
      </c>
      <c r="O33" s="20">
        <f t="shared" si="28"/>
        <v>61460.25</v>
      </c>
      <c r="P33" s="20">
        <f t="shared" si="28"/>
        <v>61418.75</v>
      </c>
    </row>
    <row r="34" spans="1:32" ht="12.75" customHeight="1" thickBot="1" x14ac:dyDescent="0.3">
      <c r="A34" s="29"/>
      <c r="B34" s="32"/>
      <c r="C34" s="32"/>
      <c r="D34" s="32"/>
      <c r="E34" s="308"/>
      <c r="F34" s="331"/>
      <c r="G34" s="309"/>
      <c r="H34" s="308"/>
      <c r="I34" s="308"/>
      <c r="J34" s="308"/>
      <c r="K34" s="308"/>
      <c r="L34" s="308"/>
      <c r="M34" s="308"/>
      <c r="N34" s="308"/>
      <c r="O34" s="308"/>
      <c r="P34" s="308"/>
    </row>
    <row r="35" spans="1:32" ht="12.75" customHeight="1" thickTop="1" thickBot="1" x14ac:dyDescent="0.3">
      <c r="A35" s="29" t="s">
        <v>45</v>
      </c>
      <c r="B35" s="3"/>
      <c r="C35" s="3"/>
      <c r="D35" s="3"/>
      <c r="E35" s="20"/>
      <c r="F35" s="329"/>
      <c r="G35" s="160"/>
      <c r="H35" s="20"/>
      <c r="I35" s="20"/>
      <c r="J35" s="20"/>
      <c r="K35" s="20"/>
      <c r="L35" s="20"/>
      <c r="M35" s="20"/>
      <c r="N35" s="20"/>
      <c r="O35" s="20"/>
      <c r="P35" s="20"/>
      <c r="R35" s="553" t="s">
        <v>294</v>
      </c>
      <c r="S35" s="552" t="s">
        <v>295</v>
      </c>
    </row>
    <row r="36" spans="1:32" ht="12.75" customHeight="1" x14ac:dyDescent="0.25">
      <c r="B36" s="28" t="str">
        <f t="shared" ref="B36:B46" si="29">B8</f>
        <v>Series 2020</v>
      </c>
      <c r="C36" s="3"/>
      <c r="D36" s="3"/>
      <c r="E36" s="546">
        <f>8063.47+107296.49</f>
        <v>115359.96</v>
      </c>
      <c r="F36" s="547">
        <f>9120+114120</f>
        <v>123240</v>
      </c>
      <c r="G36" s="548">
        <f>8621.25+114621.25</f>
        <v>123242.5</v>
      </c>
      <c r="H36" s="546">
        <f>8117.75+115117.75</f>
        <v>123235.5</v>
      </c>
      <c r="I36" s="546">
        <f>7609.5+115609.5</f>
        <v>123219</v>
      </c>
      <c r="J36" s="546">
        <f>7096.5+116096.5</f>
        <v>123193</v>
      </c>
      <c r="K36" s="546">
        <f>6578.75+116578.75</f>
        <v>123157.5</v>
      </c>
      <c r="L36" s="546">
        <f>6056.25+117056.25</f>
        <v>123112.5</v>
      </c>
      <c r="M36" s="546">
        <f>5529+117529</f>
        <v>123058</v>
      </c>
      <c r="N36" s="546">
        <f>4997+117997</f>
        <v>122994</v>
      </c>
      <c r="O36" s="546">
        <f>4460.25+118460.25</f>
        <v>122920.5</v>
      </c>
      <c r="P36" s="546">
        <f>3918.75+118918.75</f>
        <v>122837.5</v>
      </c>
      <c r="R36" s="554">
        <v>0.5</v>
      </c>
      <c r="S36" s="555">
        <v>0.5</v>
      </c>
    </row>
    <row r="37" spans="1:32" ht="12.75" customHeight="1" x14ac:dyDescent="0.25">
      <c r="B37" s="28" t="str">
        <f t="shared" si="29"/>
        <v>Series 2013</v>
      </c>
      <c r="C37" s="3"/>
      <c r="D37" s="3"/>
      <c r="E37" s="546">
        <v>0</v>
      </c>
      <c r="F37" s="547">
        <v>0</v>
      </c>
      <c r="G37" s="548">
        <v>0</v>
      </c>
      <c r="H37" s="546">
        <v>0</v>
      </c>
      <c r="I37" s="546">
        <v>0</v>
      </c>
      <c r="J37" s="546">
        <v>0</v>
      </c>
      <c r="K37" s="546">
        <v>0</v>
      </c>
      <c r="L37" s="546">
        <v>0</v>
      </c>
      <c r="M37" s="546">
        <v>0</v>
      </c>
      <c r="N37" s="546">
        <v>0</v>
      </c>
      <c r="O37" s="546">
        <v>0</v>
      </c>
      <c r="P37" s="546">
        <v>0</v>
      </c>
      <c r="Q37" t="s">
        <v>427</v>
      </c>
      <c r="R37" s="556">
        <v>0.5</v>
      </c>
      <c r="S37" s="557">
        <v>0.5</v>
      </c>
      <c r="U37">
        <v>292407</v>
      </c>
      <c r="V37">
        <v>292927.5</v>
      </c>
      <c r="W37">
        <v>292419.5</v>
      </c>
      <c r="X37">
        <v>292892.5</v>
      </c>
      <c r="Y37">
        <v>293337</v>
      </c>
      <c r="Z37">
        <v>292753</v>
      </c>
      <c r="AA37">
        <v>293150</v>
      </c>
      <c r="AB37">
        <v>292518.5</v>
      </c>
      <c r="AC37">
        <v>290868</v>
      </c>
      <c r="AD37">
        <v>293189</v>
      </c>
      <c r="AE37">
        <v>292481.5</v>
      </c>
      <c r="AF37">
        <v>292755</v>
      </c>
    </row>
    <row r="38" spans="1:32" ht="12.75" customHeight="1" x14ac:dyDescent="0.25">
      <c r="B38" s="28" t="str">
        <f t="shared" si="29"/>
        <v>Series XXXX</v>
      </c>
      <c r="C38" s="3"/>
      <c r="D38" s="3"/>
      <c r="E38" s="546">
        <v>0</v>
      </c>
      <c r="F38" s="547">
        <v>0</v>
      </c>
      <c r="G38" s="548">
        <v>0</v>
      </c>
      <c r="H38" s="546">
        <v>0</v>
      </c>
      <c r="I38" s="546">
        <v>0</v>
      </c>
      <c r="J38" s="546">
        <v>0</v>
      </c>
      <c r="K38" s="546">
        <v>0</v>
      </c>
      <c r="L38" s="546">
        <v>0</v>
      </c>
      <c r="M38" s="546">
        <v>0</v>
      </c>
      <c r="N38" s="546">
        <v>0</v>
      </c>
      <c r="O38" s="546">
        <v>0</v>
      </c>
      <c r="P38" s="546">
        <v>0</v>
      </c>
      <c r="R38" s="556">
        <v>0.5</v>
      </c>
      <c r="S38" s="557">
        <v>0.5</v>
      </c>
    </row>
    <row r="39" spans="1:32" ht="12.75" customHeight="1" x14ac:dyDescent="0.25">
      <c r="A39" s="3"/>
      <c r="B39" s="28" t="str">
        <f t="shared" si="29"/>
        <v>Series XXXX</v>
      </c>
      <c r="C39" s="3"/>
      <c r="D39" s="3"/>
      <c r="E39" s="546">
        <v>0</v>
      </c>
      <c r="F39" s="547">
        <v>0</v>
      </c>
      <c r="G39" s="548">
        <v>0</v>
      </c>
      <c r="H39" s="546">
        <v>0</v>
      </c>
      <c r="I39" s="546">
        <v>0</v>
      </c>
      <c r="J39" s="546">
        <v>0</v>
      </c>
      <c r="K39" s="546">
        <v>0</v>
      </c>
      <c r="L39" s="546">
        <v>0</v>
      </c>
      <c r="M39" s="546">
        <v>0</v>
      </c>
      <c r="N39" s="546">
        <v>0</v>
      </c>
      <c r="O39" s="546">
        <v>0</v>
      </c>
      <c r="P39" s="546">
        <v>0</v>
      </c>
      <c r="R39" s="556">
        <v>0.56499999999999995</v>
      </c>
      <c r="S39" s="557">
        <v>0.435</v>
      </c>
    </row>
    <row r="40" spans="1:32" ht="12.75" customHeight="1" x14ac:dyDescent="0.25">
      <c r="A40" s="3"/>
      <c r="B40" s="28" t="str">
        <f t="shared" si="29"/>
        <v>Series XXXX</v>
      </c>
      <c r="C40" s="3"/>
      <c r="D40" s="3"/>
      <c r="E40" s="546">
        <v>0</v>
      </c>
      <c r="F40" s="547">
        <v>0</v>
      </c>
      <c r="G40" s="548">
        <v>0</v>
      </c>
      <c r="H40" s="546">
        <v>0</v>
      </c>
      <c r="I40" s="546">
        <v>0</v>
      </c>
      <c r="J40" s="546">
        <v>0</v>
      </c>
      <c r="K40" s="546">
        <v>0</v>
      </c>
      <c r="L40" s="546">
        <v>0</v>
      </c>
      <c r="M40" s="546">
        <v>0</v>
      </c>
      <c r="N40" s="546">
        <v>0</v>
      </c>
      <c r="O40" s="546">
        <v>0</v>
      </c>
      <c r="P40" s="546">
        <v>0</v>
      </c>
      <c r="R40" s="556">
        <v>0.5</v>
      </c>
      <c r="S40" s="557">
        <v>0.5</v>
      </c>
    </row>
    <row r="41" spans="1:32" ht="12.75" customHeight="1" x14ac:dyDescent="0.25">
      <c r="A41" s="3"/>
      <c r="B41" s="28" t="str">
        <f t="shared" si="29"/>
        <v>Series XXXX</v>
      </c>
      <c r="C41" s="3"/>
      <c r="D41" s="3"/>
      <c r="E41" s="546">
        <v>0</v>
      </c>
      <c r="F41" s="547">
        <v>0</v>
      </c>
      <c r="G41" s="548">
        <v>0</v>
      </c>
      <c r="H41" s="546">
        <v>0</v>
      </c>
      <c r="I41" s="546">
        <v>0</v>
      </c>
      <c r="J41" s="546">
        <v>0</v>
      </c>
      <c r="K41" s="546">
        <v>0</v>
      </c>
      <c r="L41" s="546">
        <v>0</v>
      </c>
      <c r="M41" s="546">
        <v>0</v>
      </c>
      <c r="N41" s="546">
        <v>0</v>
      </c>
      <c r="O41" s="546">
        <v>0</v>
      </c>
      <c r="P41" s="546">
        <v>0</v>
      </c>
      <c r="R41" s="556">
        <v>0.5</v>
      </c>
      <c r="S41" s="557">
        <v>0.5</v>
      </c>
    </row>
    <row r="42" spans="1:32" ht="12.75" customHeight="1" x14ac:dyDescent="0.25">
      <c r="A42" s="3"/>
      <c r="B42" s="3" t="str">
        <f t="shared" si="29"/>
        <v>Series XXXX</v>
      </c>
      <c r="C42" s="28"/>
      <c r="D42" s="3"/>
      <c r="E42" s="546">
        <v>0</v>
      </c>
      <c r="F42" s="547">
        <v>0</v>
      </c>
      <c r="G42" s="548">
        <v>0</v>
      </c>
      <c r="H42" s="546">
        <v>0</v>
      </c>
      <c r="I42" s="546">
        <v>0</v>
      </c>
      <c r="J42" s="546">
        <v>0</v>
      </c>
      <c r="K42" s="546">
        <v>0</v>
      </c>
      <c r="L42" s="546">
        <v>0</v>
      </c>
      <c r="M42" s="546">
        <v>0</v>
      </c>
      <c r="N42" s="546">
        <v>0</v>
      </c>
      <c r="O42" s="546">
        <v>0</v>
      </c>
      <c r="P42" s="546">
        <v>0</v>
      </c>
      <c r="R42" s="556">
        <v>0.5</v>
      </c>
      <c r="S42" s="557">
        <v>0.5</v>
      </c>
    </row>
    <row r="43" spans="1:32" ht="12.75" customHeight="1" x14ac:dyDescent="0.25">
      <c r="B43" s="3" t="str">
        <f t="shared" si="29"/>
        <v>Series XXXX</v>
      </c>
      <c r="C43" s="3"/>
      <c r="D43" s="3"/>
      <c r="E43" s="546">
        <v>0</v>
      </c>
      <c r="F43" s="547">
        <v>0</v>
      </c>
      <c r="G43" s="548">
        <v>0</v>
      </c>
      <c r="H43" s="546">
        <v>0</v>
      </c>
      <c r="I43" s="546">
        <v>0</v>
      </c>
      <c r="J43" s="546">
        <v>0</v>
      </c>
      <c r="K43" s="546">
        <v>0</v>
      </c>
      <c r="L43" s="546">
        <v>0</v>
      </c>
      <c r="M43" s="546">
        <v>0</v>
      </c>
      <c r="N43" s="546">
        <v>0</v>
      </c>
      <c r="O43" s="546">
        <v>0</v>
      </c>
      <c r="P43" s="546">
        <v>0</v>
      </c>
      <c r="R43" s="556">
        <v>0</v>
      </c>
      <c r="S43" s="557">
        <v>1</v>
      </c>
    </row>
    <row r="44" spans="1:32" ht="12.75" customHeight="1" x14ac:dyDescent="0.25">
      <c r="B44" s="3" t="str">
        <f t="shared" si="29"/>
        <v>Series XXXX</v>
      </c>
      <c r="C44" s="28"/>
      <c r="D44" s="3"/>
      <c r="E44" s="546">
        <v>0</v>
      </c>
      <c r="F44" s="547">
        <v>0</v>
      </c>
      <c r="G44" s="548">
        <v>0</v>
      </c>
      <c r="H44" s="546">
        <v>0</v>
      </c>
      <c r="I44" s="546">
        <v>0</v>
      </c>
      <c r="J44" s="546">
        <v>0</v>
      </c>
      <c r="K44" s="546">
        <v>0</v>
      </c>
      <c r="L44" s="546">
        <v>0</v>
      </c>
      <c r="M44" s="546">
        <v>0</v>
      </c>
      <c r="N44" s="546">
        <v>0</v>
      </c>
      <c r="O44" s="546">
        <v>0</v>
      </c>
      <c r="P44" s="546">
        <v>0</v>
      </c>
      <c r="R44" s="556">
        <v>0.5</v>
      </c>
      <c r="S44" s="557">
        <v>0.5</v>
      </c>
    </row>
    <row r="45" spans="1:32" ht="12.75" customHeight="1" x14ac:dyDescent="0.25">
      <c r="A45" s="3"/>
      <c r="B45" s="3" t="str">
        <f t="shared" si="29"/>
        <v>Series XXXX</v>
      </c>
      <c r="C45" s="3"/>
      <c r="D45" s="3"/>
      <c r="E45" s="546">
        <v>0</v>
      </c>
      <c r="F45" s="547">
        <v>0</v>
      </c>
      <c r="G45" s="548">
        <v>0</v>
      </c>
      <c r="H45" s="546">
        <v>0</v>
      </c>
      <c r="I45" s="546">
        <v>0</v>
      </c>
      <c r="J45" s="546">
        <v>0</v>
      </c>
      <c r="K45" s="546">
        <v>0</v>
      </c>
      <c r="L45" s="546">
        <v>0</v>
      </c>
      <c r="M45" s="546">
        <v>0</v>
      </c>
      <c r="N45" s="546">
        <v>0</v>
      </c>
      <c r="O45" s="546">
        <v>0</v>
      </c>
      <c r="P45" s="546">
        <v>0</v>
      </c>
      <c r="R45" s="556">
        <v>0.5</v>
      </c>
      <c r="S45" s="557">
        <v>0.5</v>
      </c>
    </row>
    <row r="46" spans="1:32" ht="12.75" customHeight="1" thickBot="1" x14ac:dyDescent="0.3">
      <c r="A46" s="3"/>
      <c r="B46" s="22" t="str">
        <f t="shared" si="29"/>
        <v>Series XXXX</v>
      </c>
      <c r="C46" s="42"/>
      <c r="D46" s="22"/>
      <c r="E46" s="549">
        <v>0</v>
      </c>
      <c r="F46" s="550">
        <v>0</v>
      </c>
      <c r="G46" s="551">
        <v>0</v>
      </c>
      <c r="H46" s="549">
        <v>0</v>
      </c>
      <c r="I46" s="549">
        <v>0</v>
      </c>
      <c r="J46" s="549">
        <v>0</v>
      </c>
      <c r="K46" s="549">
        <v>0</v>
      </c>
      <c r="L46" s="549">
        <v>0</v>
      </c>
      <c r="M46" s="549">
        <v>0</v>
      </c>
      <c r="N46" s="549">
        <v>0</v>
      </c>
      <c r="O46" s="549">
        <v>0</v>
      </c>
      <c r="P46" s="549">
        <v>0</v>
      </c>
      <c r="R46" s="558">
        <v>0.5</v>
      </c>
      <c r="S46" s="559">
        <v>0.5</v>
      </c>
    </row>
    <row r="47" spans="1:32" ht="12.75" customHeight="1" x14ac:dyDescent="0.25">
      <c r="A47" s="3"/>
      <c r="B47" s="29" t="s">
        <v>94</v>
      </c>
      <c r="C47" s="3"/>
      <c r="D47" s="3"/>
      <c r="E47" s="20">
        <f t="shared" ref="E47:I47" si="30">SUM(E36:E46)</f>
        <v>115359.96</v>
      </c>
      <c r="F47" s="329">
        <f t="shared" si="30"/>
        <v>123240</v>
      </c>
      <c r="G47" s="160">
        <f t="shared" si="30"/>
        <v>123242.5</v>
      </c>
      <c r="H47" s="20">
        <f t="shared" si="30"/>
        <v>123235.5</v>
      </c>
      <c r="I47" s="20">
        <f t="shared" si="30"/>
        <v>123219</v>
      </c>
      <c r="J47" s="20">
        <f t="shared" ref="J47:P47" si="31">SUM(J36:J46)</f>
        <v>123193</v>
      </c>
      <c r="K47" s="20">
        <f t="shared" si="31"/>
        <v>123157.5</v>
      </c>
      <c r="L47" s="20">
        <f t="shared" si="31"/>
        <v>123112.5</v>
      </c>
      <c r="M47" s="20">
        <f t="shared" si="31"/>
        <v>123058</v>
      </c>
      <c r="N47" s="20">
        <f t="shared" si="31"/>
        <v>122994</v>
      </c>
      <c r="O47" s="20">
        <f t="shared" si="31"/>
        <v>122920.5</v>
      </c>
      <c r="P47" s="20">
        <f t="shared" si="31"/>
        <v>122837.5</v>
      </c>
    </row>
    <row r="48" spans="1:32" ht="12.75" customHeight="1" x14ac:dyDescent="0.25">
      <c r="A48" s="3"/>
      <c r="B48" s="3"/>
      <c r="C48" s="3"/>
      <c r="D48" s="3"/>
      <c r="E48" s="20"/>
      <c r="F48" s="329"/>
      <c r="G48" s="160"/>
      <c r="H48" s="20"/>
      <c r="I48" s="20"/>
      <c r="J48" s="20"/>
      <c r="K48" s="20"/>
      <c r="L48" s="20"/>
      <c r="M48" s="20"/>
      <c r="N48" s="20"/>
      <c r="O48" s="20"/>
      <c r="P48" s="20"/>
    </row>
    <row r="49" spans="1:16" ht="12.75" customHeight="1" x14ac:dyDescent="0.25">
      <c r="A49" s="29" t="s">
        <v>1</v>
      </c>
      <c r="B49" s="3"/>
      <c r="C49" s="3"/>
      <c r="D49" s="3"/>
      <c r="E49" s="506">
        <v>0.5</v>
      </c>
      <c r="F49" s="329"/>
      <c r="G49" s="160"/>
      <c r="H49" s="20"/>
      <c r="I49" s="20"/>
      <c r="J49" s="20"/>
      <c r="K49" s="20"/>
      <c r="L49" s="20"/>
      <c r="M49" s="20"/>
      <c r="N49" s="20"/>
      <c r="O49" s="20"/>
      <c r="P49" s="20"/>
    </row>
    <row r="50" spans="1:16" ht="12.75" customHeight="1" x14ac:dyDescent="0.25">
      <c r="A50" s="29"/>
      <c r="B50" s="3" t="str">
        <f>E118</f>
        <v>Series 2025</v>
      </c>
      <c r="C50" s="3"/>
      <c r="D50" s="3"/>
      <c r="E50" s="20"/>
      <c r="F50" s="329"/>
      <c r="G50" s="153">
        <f>IF(Sum!$H$606&gt;G$4,0,IF(Sum!$H$606=G$4,-PMT(Sum!$H$603,Sum!$H$604,$E$134*(1+Sum!$H$605)*$E$49),IF(Sum!$H$606&lt;G$4,-PMT(Sum!$H$603,Sum!$H$604,$E$134*(1+Sum!$H$605),0))))</f>
        <v>0</v>
      </c>
      <c r="H50" s="13">
        <f>IF(Sum!$H$606&gt;H$4,0,IF(Sum!$H$606=H$4,-PMT(Sum!$H$603,Sum!$H$604,$E$134*(1+Sum!$H$605)*$E$49),IF(Sum!$H$606&lt;H$4,-PMT(Sum!$H$603,Sum!$H$604,$E$134*(1+Sum!$H$605),0))))</f>
        <v>0</v>
      </c>
      <c r="I50" s="13">
        <f>IF(Sum!$H$606&gt;I$4,0,IF(Sum!$H$606=I$4,-PMT(Sum!$H$603,Sum!$H$604,$E$134*(1+Sum!$H$605)*$E$49),IF(Sum!$H$606&lt;I$4,-PMT(Sum!$H$603,Sum!$H$604,$E$134*(1+Sum!$H$605),0))))</f>
        <v>0</v>
      </c>
      <c r="J50" s="13">
        <f>IF(Sum!$H$606&gt;J$4,0,IF(Sum!$H$606=J$4,-PMT(Sum!$H$603,Sum!$H$604,$E$134*(1+Sum!$H$605)*$E$49),IF(Sum!$H$606&lt;J$4,-PMT(Sum!$H$603,Sum!$H$604,$E$134*(1+Sum!$H$605),0))))</f>
        <v>0</v>
      </c>
      <c r="K50" s="13">
        <f>IF(Sum!$H$606&gt;K$4,0,IF(Sum!$H$606=K$4,-PMT(Sum!$H$603,Sum!$H$604,$E$134*(1+Sum!$H$605)*$E$49),IF(Sum!$H$606&lt;K$4,-PMT(Sum!$H$603,Sum!$H$604,$E$134*(1+Sum!$H$605),0))))</f>
        <v>0</v>
      </c>
      <c r="L50" s="13">
        <f>IF(Sum!$H$606&gt;L$4,0,IF(Sum!$H$606=L$4,-PMT(Sum!$H$603,Sum!$H$604,$E$134*(1+Sum!$H$605)*$E$49),IF(Sum!$H$606&lt;L$4,-PMT(Sum!$H$603,Sum!$H$604,$E$134*(1+Sum!$H$605),0))))</f>
        <v>0</v>
      </c>
      <c r="M50" s="13">
        <f>IF(Sum!$H$606&gt;M$4,0,IF(Sum!$H$606=M$4,-PMT(Sum!$H$603,Sum!$H$604,$E$134*(1+Sum!$H$605)*$E$49),IF(Sum!$H$606&lt;M$4,-PMT(Sum!$H$603,Sum!$H$604,$E$134*(1+Sum!$H$605),0))))</f>
        <v>0</v>
      </c>
      <c r="N50" s="13">
        <f>IF(Sum!$H$606&gt;N$4,0,IF(Sum!$H$606=N$4,-PMT(Sum!$H$603,Sum!$H$604,$E$134*(1+Sum!$H$605)*$E$49),IF(Sum!$H$606&lt;N$4,-PMT(Sum!$H$603,Sum!$H$604,$E$134*(1+Sum!$H$605),0))))</f>
        <v>0</v>
      </c>
      <c r="O50" s="13">
        <f>IF(Sum!$H$606&gt;O$4,0,IF(Sum!$H$606=O$4,-PMT(Sum!$H$603,Sum!$H$604,$E$134*(1+Sum!$H$605)*$E$49),IF(Sum!$H$606&lt;O$4,-PMT(Sum!$H$603,Sum!$H$604,$E$134*(1+Sum!$H$605),0))))</f>
        <v>0</v>
      </c>
      <c r="P50" s="13">
        <f>IF(Sum!$H$606&gt;P$4,0,IF(Sum!$H$606=P$4,-PMT(Sum!$H$603,Sum!$H$604,$E$134*(1+Sum!$H$605)*$E$49),IF(Sum!$H$606&lt;P$4,-PMT(Sum!$H$603,Sum!$H$604,$E$134*(1+Sum!$H$605),0))))</f>
        <v>0</v>
      </c>
    </row>
    <row r="51" spans="1:16" ht="12.75" customHeight="1" x14ac:dyDescent="0.25">
      <c r="A51" s="29"/>
      <c r="B51" s="3" t="str">
        <f>F118</f>
        <v>Series 2026</v>
      </c>
      <c r="C51" s="3"/>
      <c r="D51" s="3"/>
      <c r="E51" s="20"/>
      <c r="F51" s="329"/>
      <c r="G51" s="153">
        <f>IF(Sum!$I$606&gt;G$4,0,IF(Sum!$I$606=G$4,-PMT(Sum!$I$603,Sum!$I$604,$F$134*(1+Sum!$I$605)*$E$49),IF(Sum!$I$606&lt;G$4,-PMT(Sum!$I$603,Sum!$I$604,$F$134*(1+Sum!$I$605),0))))</f>
        <v>0</v>
      </c>
      <c r="H51" s="13">
        <f>IF(Sum!$I$606&gt;H$4,0,IF(Sum!$I$606=H$4,-PMT(Sum!$I$603,Sum!$I$604,$F$134*(1+Sum!$I$605)*$E$49),IF(Sum!$I$606&lt;H$4,-PMT(Sum!$I$603,Sum!$I$604,$F$134*(1+Sum!$I$605),0))))</f>
        <v>0</v>
      </c>
      <c r="I51" s="13">
        <f>IF(Sum!$I$606&gt;I$4,0,IF(Sum!$I$606=I$4,-PMT(Sum!$I$603,Sum!$I$604,$F$134*(1+Sum!$I$605)*$E$49),IF(Sum!$I$606&lt;I$4,-PMT(Sum!$I$603,Sum!$I$604,$F$134*(1+Sum!$I$605),0))))</f>
        <v>0</v>
      </c>
      <c r="J51" s="13">
        <f>IF(Sum!$I$606&gt;J$4,0,IF(Sum!$I$606=J$4,-PMT(Sum!$I$603,Sum!$I$604,$F$134*(1+Sum!$I$605)*$E$49),IF(Sum!$I$606&lt;J$4,-PMT(Sum!$I$603,Sum!$I$604,$F$134*(1+Sum!$I$605),0))))</f>
        <v>0</v>
      </c>
      <c r="K51" s="13">
        <f>IF(Sum!$I$606&gt;K$4,0,IF(Sum!$I$606=K$4,-PMT(Sum!$I$603,Sum!$I$604,$F$134*(1+Sum!$I$605)*$E$49),IF(Sum!$I$606&lt;K$4,-PMT(Sum!$I$603,Sum!$I$604,$F$134*(1+Sum!$I$605),0))))</f>
        <v>0</v>
      </c>
      <c r="L51" s="13">
        <f>IF(Sum!$I$606&gt;L$4,0,IF(Sum!$I$606=L$4,-PMT(Sum!$I$603,Sum!$I$604,$F$134*(1+Sum!$I$605)*$E$49),IF(Sum!$I$606&lt;L$4,-PMT(Sum!$I$603,Sum!$I$604,$F$134*(1+Sum!$I$605),0))))</f>
        <v>0</v>
      </c>
      <c r="M51" s="13">
        <f>IF(Sum!$I$606&gt;M$4,0,IF(Sum!$I$606=M$4,-PMT(Sum!$I$603,Sum!$I$604,$F$134*(1+Sum!$I$605)*$E$49),IF(Sum!$I$606&lt;M$4,-PMT(Sum!$I$603,Sum!$I$604,$F$134*(1+Sum!$I$605),0))))</f>
        <v>0</v>
      </c>
      <c r="N51" s="13">
        <f>IF(Sum!$I$606&gt;N$4,0,IF(Sum!$I$606=N$4,-PMT(Sum!$I$603,Sum!$I$604,$F$134*(1+Sum!$I$605)*$E$49),IF(Sum!$I$606&lt;N$4,-PMT(Sum!$I$603,Sum!$I$604,$F$134*(1+Sum!$I$605),0))))</f>
        <v>0</v>
      </c>
      <c r="O51" s="13">
        <f>IF(Sum!$I$606&gt;O$4,0,IF(Sum!$I$606=O$4,-PMT(Sum!$I$603,Sum!$I$604,$F$134*(1+Sum!$I$605)*$E$49),IF(Sum!$I$606&lt;O$4,-PMT(Sum!$I$603,Sum!$I$604,$F$134*(1+Sum!$I$605),0))))</f>
        <v>0</v>
      </c>
      <c r="P51" s="13">
        <f>IF(Sum!$I$606&gt;P$4,0,IF(Sum!$I$606=P$4,-PMT(Sum!$I$603,Sum!$I$604,$F$134*(1+Sum!$I$605)*$E$49),IF(Sum!$I$606&lt;P$4,-PMT(Sum!$I$603,Sum!$I$604,$F$134*(1+Sum!$I$605),0))))</f>
        <v>0</v>
      </c>
    </row>
    <row r="52" spans="1:16" ht="12.75" customHeight="1" x14ac:dyDescent="0.25">
      <c r="A52" s="29"/>
      <c r="B52" s="3" t="str">
        <f>G118</f>
        <v>Series 2027</v>
      </c>
      <c r="C52" s="3"/>
      <c r="D52" s="3"/>
      <c r="E52" s="20"/>
      <c r="F52" s="329"/>
      <c r="G52" s="153">
        <f>IF(Sum!$J$606&gt;G$4,0,IF(Sum!$J$606=G$4,-PMT(Sum!$J$603,Sum!$J$604,$G$134*(1+Sum!$J$605)*$E$49),IF(Sum!$J$606&lt;G$4,-PMT(Sum!$J$603,Sum!$J$604,$G$134*(1+Sum!$J$605),0))))</f>
        <v>0</v>
      </c>
      <c r="H52" s="13">
        <f>IF(Sum!$J$606&gt;H$4,0,IF(Sum!$J$606=H$4,-PMT(Sum!$J$603,Sum!$J$604,$G$134*(1+Sum!$J$605)*$E$49),IF(Sum!$J$606&lt;H$4,-PMT(Sum!$J$603,Sum!$J$604,$G$134*(1+Sum!$J$605),0))))</f>
        <v>0</v>
      </c>
      <c r="I52" s="13">
        <f>IF(Sum!$J$606&gt;I$4,0,IF(Sum!$J$606=I$4,-PMT(Sum!$J$603,Sum!$J$604,$G$134*(1+Sum!$J$605)*$E$49),IF(Sum!$J$606&lt;I$4,-PMT(Sum!$J$603,Sum!$J$604,$G$134*(1+Sum!$J$605),0))))</f>
        <v>50204.117411980013</v>
      </c>
      <c r="J52" s="13">
        <f>IF(Sum!$J$606&gt;J$4,0,IF(Sum!$J$606=J$4,-PMT(Sum!$J$603,Sum!$J$604,$G$134*(1+Sum!$J$605)*$E$49),IF(Sum!$J$606&lt;J$4,-PMT(Sum!$J$603,Sum!$J$604,$G$134*(1+Sum!$J$605),0))))</f>
        <v>100408.23482396003</v>
      </c>
      <c r="K52" s="13">
        <f>IF(Sum!$J$606&gt;K$4,0,IF(Sum!$J$606=K$4,-PMT(Sum!$J$603,Sum!$J$604,$G$134*(1+Sum!$J$605)*$E$49),IF(Sum!$J$606&lt;K$4,-PMT(Sum!$J$603,Sum!$J$604,$G$134*(1+Sum!$J$605),0))))</f>
        <v>100408.23482396003</v>
      </c>
      <c r="L52" s="13">
        <f>IF(Sum!$J$606&gt;L$4,0,IF(Sum!$J$606=L$4,-PMT(Sum!$J$603,Sum!$J$604,$G$134*(1+Sum!$J$605)*$E$49),IF(Sum!$J$606&lt;L$4,-PMT(Sum!$J$603,Sum!$J$604,$G$134*(1+Sum!$J$605),0))))</f>
        <v>100408.23482396003</v>
      </c>
      <c r="M52" s="13">
        <f>IF(Sum!$J$606&gt;M$4,0,IF(Sum!$J$606=M$4,-PMT(Sum!$J$603,Sum!$J$604,$G$134*(1+Sum!$J$605)*$E$49),IF(Sum!$J$606&lt;M$4,-PMT(Sum!$J$603,Sum!$J$604,$G$134*(1+Sum!$J$605),0))))</f>
        <v>100408.23482396003</v>
      </c>
      <c r="N52" s="13">
        <f>IF(Sum!$J$606&gt;N$4,0,IF(Sum!$J$606=N$4,-PMT(Sum!$J$603,Sum!$J$604,$G$134*(1+Sum!$J$605)*$E$49),IF(Sum!$J$606&lt;N$4,-PMT(Sum!$J$603,Sum!$J$604,$G$134*(1+Sum!$J$605),0))))</f>
        <v>100408.23482396003</v>
      </c>
      <c r="O52" s="13">
        <f>IF(Sum!$J$606&gt;O$4,0,IF(Sum!$J$606=O$4,-PMT(Sum!$J$603,Sum!$J$604,$G$134*(1+Sum!$J$605)*$E$49),IF(Sum!$J$606&lt;O$4,-PMT(Sum!$J$603,Sum!$J$604,$G$134*(1+Sum!$J$605),0))))</f>
        <v>100408.23482396003</v>
      </c>
      <c r="P52" s="13">
        <f>IF(Sum!$J$606&gt;P$4,0,IF(Sum!$J$606=P$4,-PMT(Sum!$J$603,Sum!$J$604,$G$134*(1+Sum!$J$605)*$E$49),IF(Sum!$J$606&lt;P$4,-PMT(Sum!$J$603,Sum!$J$604,$G$134*(1+Sum!$J$605),0))))</f>
        <v>100408.23482396003</v>
      </c>
    </row>
    <row r="53" spans="1:16" ht="12.75" customHeight="1" x14ac:dyDescent="0.25">
      <c r="A53" s="29"/>
      <c r="B53" s="3" t="str">
        <f>H118</f>
        <v>Series 2028</v>
      </c>
      <c r="C53" s="3"/>
      <c r="D53" s="3"/>
      <c r="E53" s="20"/>
      <c r="F53" s="329"/>
      <c r="G53" s="153">
        <f>IF(Sum!$K$606&gt;G$4,0,IF(Sum!$K$606=G$4,-PMT(Sum!$K$603,Sum!$K$604,$H$134*(1+Sum!$K$605)*$E$49),IF(Sum!$K$606&lt;G$4,-PMT(Sum!$K$603,Sum!$K$604,$H$134*(1+Sum!$K$605),0))))</f>
        <v>0</v>
      </c>
      <c r="H53" s="13">
        <f>IF(Sum!$K$606&gt;H$4,0,IF(Sum!$K$606=H$4,-PMT(Sum!$K$603,Sum!$K$604,$H$134*(1+Sum!$K$605)*$E$49),IF(Sum!$K$606&lt;H$4,-PMT(Sum!$K$603,Sum!$K$604,$H$134*(1+Sum!$K$605),0))))</f>
        <v>0</v>
      </c>
      <c r="I53" s="13">
        <f>IF(Sum!$K$606&gt;I$4,0,IF(Sum!$K$606=I$4,-PMT(Sum!$K$603,Sum!$K$604,$H$134*(1+Sum!$K$605)*$E$49),IF(Sum!$K$606&lt;I$4,-PMT(Sum!$K$603,Sum!$K$604,$H$134*(1+Sum!$K$605),0))))</f>
        <v>0</v>
      </c>
      <c r="J53" s="13">
        <f>IF(Sum!$K$606&gt;J$4,0,IF(Sum!$K$606=J$4,-PMT(Sum!$K$603,Sum!$K$604,$H$134*(1+Sum!$K$605)*$E$49),IF(Sum!$K$606&lt;J$4,-PMT(Sum!$K$603,Sum!$K$604,$H$134*(1+Sum!$K$605),0))))</f>
        <v>0</v>
      </c>
      <c r="K53" s="13">
        <f>IF(Sum!$K$606&gt;K$4,0,IF(Sum!$K$606=K$4,-PMT(Sum!$K$603,Sum!$K$604,$H$134*(1+Sum!$K$605)*$E$49),IF(Sum!$K$606&lt;K$4,-PMT(Sum!$K$603,Sum!$K$604,$H$134*(1+Sum!$K$605),0))))</f>
        <v>0</v>
      </c>
      <c r="L53" s="13">
        <f>IF(Sum!$K$606&gt;L$4,0,IF(Sum!$K$606=L$4,-PMT(Sum!$K$603,Sum!$K$604,$H$134*(1+Sum!$K$605)*$E$49),IF(Sum!$K$606&lt;L$4,-PMT(Sum!$K$603,Sum!$K$604,$H$134*(1+Sum!$K$605),0))))</f>
        <v>0</v>
      </c>
      <c r="M53" s="13">
        <f>IF(Sum!$K$606&gt;M$4,0,IF(Sum!$K$606=M$4,-PMT(Sum!$K$603,Sum!$K$604,$H$134*(1+Sum!$K$605)*$E$49),IF(Sum!$K$606&lt;M$4,-PMT(Sum!$K$603,Sum!$K$604,$H$134*(1+Sum!$K$605),0))))</f>
        <v>0</v>
      </c>
      <c r="N53" s="13">
        <f>IF(Sum!$K$606&gt;N$4,0,IF(Sum!$K$606=N$4,-PMT(Sum!$K$603,Sum!$K$604,$H$134*(1+Sum!$K$605)*$E$49),IF(Sum!$K$606&lt;N$4,-PMT(Sum!$K$603,Sum!$K$604,$H$134*(1+Sum!$K$605),0))))</f>
        <v>0</v>
      </c>
      <c r="O53" s="13">
        <f>IF(Sum!$K$606&gt;O$4,0,IF(Sum!$K$606=O$4,-PMT(Sum!$K$603,Sum!$K$604,$H$134*(1+Sum!$K$605)*$E$49),IF(Sum!$K$606&lt;O$4,-PMT(Sum!$K$603,Sum!$K$604,$H$134*(1+Sum!$K$605),0))))</f>
        <v>0</v>
      </c>
      <c r="P53" s="13">
        <f>IF(Sum!$K$606&gt;P$4,0,IF(Sum!$K$606=P$4,-PMT(Sum!$K$603,Sum!$K$604,$H$134*(1+Sum!$K$605)*$E$49),IF(Sum!$K$606&lt;P$4,-PMT(Sum!$K$603,Sum!$K$604,$H$134*(1+Sum!$K$605),0))))</f>
        <v>0</v>
      </c>
    </row>
    <row r="54" spans="1:16" ht="12.75" customHeight="1" x14ac:dyDescent="0.25">
      <c r="A54" s="29"/>
      <c r="B54" s="3" t="str">
        <f>I118</f>
        <v>Series 2029</v>
      </c>
      <c r="C54" s="3"/>
      <c r="D54" s="3"/>
      <c r="E54" s="20"/>
      <c r="F54" s="329"/>
      <c r="G54" s="153">
        <f>IF(Sum!$L$606&gt;G$4,0,IF(Sum!$L$606=G$4,-PMT(Sum!$L$603,Sum!$L$604,$I$134*(1+Sum!$L$605)*$E$49),IF(Sum!$L$606&lt;G$4,-PMT(Sum!$L$603,Sum!$L$604,$I$134*(1+Sum!$L$605),0))))</f>
        <v>0</v>
      </c>
      <c r="H54" s="13">
        <f>IF(Sum!$L$606&gt;H$4,0,IF(Sum!$L$606=H$4,-PMT(Sum!$L$603,Sum!$L$604,$I$134*(1+Sum!$L$605)*$E$49),IF(Sum!$L$606&lt;H$4,-PMT(Sum!$L$603,Sum!$L$604,$I$134*(1+Sum!$L$605),0))))</f>
        <v>0</v>
      </c>
      <c r="I54" s="13">
        <f>IF(Sum!$L$606&gt;I$4,0,IF(Sum!$L$606=I$4,-PMT(Sum!$L$603,Sum!$L$604,$I$134*(1+Sum!$L$605)*$E$49),IF(Sum!$L$606&lt;I$4,-PMT(Sum!$L$603,Sum!$L$604,$I$134*(1+Sum!$L$605),0))))</f>
        <v>0</v>
      </c>
      <c r="J54" s="13">
        <f>IF(Sum!$L$606&gt;J$4,0,IF(Sum!$L$606=J$4,-PMT(Sum!$L$603,Sum!$L$604,$I$134*(1+Sum!$L$605)*$E$49),IF(Sum!$L$606&lt;J$4,-PMT(Sum!$L$603,Sum!$L$604,$I$134*(1+Sum!$L$605),0))))</f>
        <v>0</v>
      </c>
      <c r="K54" s="13">
        <f>IF(Sum!$L$606&gt;K$4,0,IF(Sum!$L$606=K$4,-PMT(Sum!$L$603,Sum!$L$604,$I$134*(1+Sum!$L$605)*$E$49),IF(Sum!$L$606&lt;K$4,-PMT(Sum!$L$603,Sum!$L$604,$I$134*(1+Sum!$L$605),0))))</f>
        <v>0</v>
      </c>
      <c r="L54" s="13">
        <f>IF(Sum!$L$606&gt;L$4,0,IF(Sum!$L$606=L$4,-PMT(Sum!$L$603,Sum!$L$604,$I$134*(1+Sum!$L$605)*$E$49),IF(Sum!$L$606&lt;L$4,-PMT(Sum!$L$603,Sum!$L$604,$I$134*(1+Sum!$L$605),0))))</f>
        <v>0</v>
      </c>
      <c r="M54" s="13">
        <f>IF(Sum!$L$606&gt;M$4,0,IF(Sum!$L$606=M$4,-PMT(Sum!$L$603,Sum!$L$604,$I$134*(1+Sum!$L$605)*$E$49),IF(Sum!$L$606&lt;M$4,-PMT(Sum!$L$603,Sum!$L$604,$I$134*(1+Sum!$L$605),0))))</f>
        <v>0</v>
      </c>
      <c r="N54" s="13">
        <f>IF(Sum!$L$606&gt;N$4,0,IF(Sum!$L$606=N$4,-PMT(Sum!$L$603,Sum!$L$604,$I$134*(1+Sum!$L$605)*$E$49),IF(Sum!$L$606&lt;N$4,-PMT(Sum!$L$603,Sum!$L$604,$I$134*(1+Sum!$L$605),0))))</f>
        <v>0</v>
      </c>
      <c r="O54" s="13">
        <f>IF(Sum!$L$606&gt;O$4,0,IF(Sum!$L$606=O$4,-PMT(Sum!$L$603,Sum!$L$604,$I$134*(1+Sum!$L$605)*$E$49),IF(Sum!$L$606&lt;O$4,-PMT(Sum!$L$603,Sum!$L$604,$I$134*(1+Sum!$L$605),0))))</f>
        <v>0</v>
      </c>
      <c r="P54" s="13">
        <f>IF(Sum!$L$606&gt;P$4,0,IF(Sum!$L$606=P$4,-PMT(Sum!$L$603,Sum!$L$604,$I$134*(1+Sum!$L$605)*$E$49),IF(Sum!$L$606&lt;P$4,-PMT(Sum!$L$603,Sum!$L$604,$I$134*(1+Sum!$L$605),0))))</f>
        <v>0</v>
      </c>
    </row>
    <row r="55" spans="1:16" ht="12.75" customHeight="1" x14ac:dyDescent="0.25">
      <c r="A55" s="29"/>
      <c r="B55" s="3" t="str">
        <f>J118</f>
        <v>Series 2030</v>
      </c>
      <c r="C55" s="3"/>
      <c r="D55" s="3"/>
      <c r="E55" s="20"/>
      <c r="F55" s="329"/>
      <c r="G55" s="153">
        <f>IF(Sum!$M$606&gt;G$4,0,IF(Sum!$M$606=G$4,-PMT(Sum!$M$603,Sum!$M$604,$J$134*(1+Sum!$M$605)*$E$49),IF(Sum!$M$606&lt;G$4,-PMT(Sum!$M$603,Sum!$M$604,$J$134*(1+Sum!$M$605),0))))</f>
        <v>0</v>
      </c>
      <c r="H55" s="13">
        <f>IF(Sum!$M$606&gt;H$4,0,IF(Sum!$M$606=H$4,-PMT(Sum!$M$603,Sum!$M$604,$J$134*(1+Sum!$M$605)*$E$49),IF(Sum!$M$606&lt;H$4,-PMT(Sum!$M$603,Sum!$M$604,$J$134*(1+Sum!$M$605),0))))</f>
        <v>0</v>
      </c>
      <c r="I55" s="13">
        <f>IF(Sum!$M$606&gt;I$4,0,IF(Sum!$M$606=I$4,-PMT(Sum!$M$603,Sum!$M$604,$J$134*(1+Sum!$M$605)*$E$49),IF(Sum!$M$606&lt;I$4,-PMT(Sum!$M$603,Sum!$M$604,$J$134*(1+Sum!$M$605),0))))</f>
        <v>0</v>
      </c>
      <c r="J55" s="13">
        <f>IF(Sum!$M$606&gt;J$4,0,IF(Sum!$M$606=J$4,-PMT(Sum!$M$603,Sum!$M$604,$J$134*(1+Sum!$M$605)*$E$49),IF(Sum!$M$606&lt;J$4,-PMT(Sum!$M$603,Sum!$M$604,$J$134*(1+Sum!$M$605),0))))</f>
        <v>0</v>
      </c>
      <c r="K55" s="13">
        <f>IF(Sum!$M$606&gt;K$4,0,IF(Sum!$M$606=K$4,-PMT(Sum!$M$603,Sum!$M$604,$J$134*(1+Sum!$M$605)*$E$49),IF(Sum!$M$606&lt;K$4,-PMT(Sum!$M$603,Sum!$M$604,$J$134*(1+Sum!$M$605),0))))</f>
        <v>0</v>
      </c>
      <c r="L55" s="13">
        <f>IF(Sum!$M$606&gt;L$4,0,IF(Sum!$M$606=L$4,-PMT(Sum!$M$603,Sum!$M$604,$J$134*(1+Sum!$M$605)*$E$49),IF(Sum!$M$606&lt;L$4,-PMT(Sum!$M$603,Sum!$M$604,$J$134*(1+Sum!$M$605),0))))</f>
        <v>0</v>
      </c>
      <c r="M55" s="13">
        <f>IF(Sum!$M$606&gt;M$4,0,IF(Sum!$M$606=M$4,-PMT(Sum!$M$603,Sum!$M$604,$J$134*(1+Sum!$M$605)*$E$49),IF(Sum!$M$606&lt;M$4,-PMT(Sum!$M$603,Sum!$M$604,$J$134*(1+Sum!$M$605),0))))</f>
        <v>0</v>
      </c>
      <c r="N55" s="13">
        <f>IF(Sum!$M$606&gt;N$4,0,IF(Sum!$M$606=N$4,-PMT(Sum!$M$603,Sum!$M$604,$J$134*(1+Sum!$M$605)*$E$49),IF(Sum!$M$606&lt;N$4,-PMT(Sum!$M$603,Sum!$M$604,$J$134*(1+Sum!$M$605),0))))</f>
        <v>0</v>
      </c>
      <c r="O55" s="13">
        <f>IF(Sum!$M$606&gt;O$4,0,IF(Sum!$M$606=O$4,-PMT(Sum!$M$603,Sum!$M$604,$J$134*(1+Sum!$M$605)*$E$49),IF(Sum!$M$606&lt;O$4,-PMT(Sum!$M$603,Sum!$M$604,$J$134*(1+Sum!$M$605),0))))</f>
        <v>0</v>
      </c>
      <c r="P55" s="13">
        <f>IF(Sum!$M$606&gt;P$4,0,IF(Sum!$M$606=P$4,-PMT(Sum!$M$603,Sum!$M$604,$J$134*(1+Sum!$M$605)*$E$49),IF(Sum!$M$606&lt;P$4,-PMT(Sum!$M$603,Sum!$M$604,$J$134*(1+Sum!$M$605),0))))</f>
        <v>0</v>
      </c>
    </row>
    <row r="56" spans="1:16" ht="12.75" customHeight="1" x14ac:dyDescent="0.25">
      <c r="A56" s="29"/>
      <c r="B56" s="3" t="str">
        <f>K118</f>
        <v>Series 2031</v>
      </c>
      <c r="C56" s="3"/>
      <c r="D56" s="3"/>
      <c r="E56" s="20"/>
      <c r="F56" s="329"/>
      <c r="G56" s="153">
        <f>IF(Sum!$N$606&gt;G$4,0,IF(Sum!$N$606=G$4,-PMT(Sum!$N$603,Sum!$N$604,$K$134*(1+Sum!$N$605)*$E$49),IF(Sum!$N$606&lt;G$4,-PMT(Sum!$N$603,Sum!$N$604,$K$134*(1+Sum!$N$605),0))))</f>
        <v>0</v>
      </c>
      <c r="H56" s="13">
        <f>IF(Sum!$N$606&gt;H$4,0,IF(Sum!$N$606=H$4,-PMT(Sum!$N$603,Sum!$N$604,$K$134*(1+Sum!$N$605)*$E$49),IF(Sum!$N$606&lt;H$4,-PMT(Sum!$N$603,Sum!$N$604,$K$134*(1+Sum!$N$605),0))))</f>
        <v>0</v>
      </c>
      <c r="I56" s="13">
        <f>IF(Sum!$N$606&gt;I$4,0,IF(Sum!$N$606=I$4,-PMT(Sum!$N$603,Sum!$N$604,$K$134*(1+Sum!$N$605)*$E$49),IF(Sum!$N$606&lt;I$4,-PMT(Sum!$N$603,Sum!$N$604,$K$134*(1+Sum!$N$605),0))))</f>
        <v>0</v>
      </c>
      <c r="J56" s="13">
        <f>IF(Sum!$N$606&gt;J$4,0,IF(Sum!$N$606=J$4,-PMT(Sum!$N$603,Sum!$N$604,$K$134*(1+Sum!$N$605)*$E$49),IF(Sum!$N$606&lt;J$4,-PMT(Sum!$N$603,Sum!$N$604,$K$134*(1+Sum!$N$605),0))))</f>
        <v>0</v>
      </c>
      <c r="K56" s="13">
        <f>IF(Sum!$N$606&gt;K$4,0,IF(Sum!$N$606=K$4,-PMT(Sum!$N$603,Sum!$N$604,$K$134*(1+Sum!$N$605)*$E$49),IF(Sum!$N$606&lt;K$4,-PMT(Sum!$N$603,Sum!$N$604,$K$134*(1+Sum!$N$605),0))))</f>
        <v>0</v>
      </c>
      <c r="L56" s="13">
        <f>IF(Sum!$N$606&gt;L$4,0,IF(Sum!$N$606=L$4,-PMT(Sum!$N$603,Sum!$N$604,$K$134*(1+Sum!$N$605)*$E$49),IF(Sum!$N$606&lt;L$4,-PMT(Sum!$N$603,Sum!$N$604,$K$134*(1+Sum!$N$605),0))))</f>
        <v>0</v>
      </c>
      <c r="M56" s="13">
        <f>IF(Sum!$N$606&gt;M$4,0,IF(Sum!$N$606=M$4,-PMT(Sum!$N$603,Sum!$N$604,$K$134*(1+Sum!$N$605)*$E$49),IF(Sum!$N$606&lt;M$4,-PMT(Sum!$N$603,Sum!$N$604,$K$134*(1+Sum!$N$605),0))))</f>
        <v>0</v>
      </c>
      <c r="N56" s="13">
        <f>IF(Sum!$N$606&gt;N$4,0,IF(Sum!$N$606=N$4,-PMT(Sum!$N$603,Sum!$N$604,$K$134*(1+Sum!$N$605)*$E$49),IF(Sum!$N$606&lt;N$4,-PMT(Sum!$N$603,Sum!$N$604,$K$134*(1+Sum!$N$605),0))))</f>
        <v>0</v>
      </c>
      <c r="O56" s="13">
        <f>IF(Sum!$N$606&gt;O$4,0,IF(Sum!$N$606=O$4,-PMT(Sum!$N$603,Sum!$N$604,$K$134*(1+Sum!$N$605)*$E$49),IF(Sum!$N$606&lt;O$4,-PMT(Sum!$N$603,Sum!$N$604,$K$134*(1+Sum!$N$605),0))))</f>
        <v>0</v>
      </c>
      <c r="P56" s="13">
        <f>IF(Sum!$N$606&gt;P$4,0,IF(Sum!$N$606=P$4,-PMT(Sum!$N$603,Sum!$N$604,$K$134*(1+Sum!$N$605)*$E$49),IF(Sum!$N$606&lt;P$4,-PMT(Sum!$N$603,Sum!$N$604,$K$134*(1+Sum!$N$605),0))))</f>
        <v>0</v>
      </c>
    </row>
    <row r="57" spans="1:16" ht="12.75" customHeight="1" x14ac:dyDescent="0.25">
      <c r="A57" s="29"/>
      <c r="B57" s="3" t="str">
        <f>L118</f>
        <v>Series 2032</v>
      </c>
      <c r="C57" s="3"/>
      <c r="D57" s="3"/>
      <c r="E57" s="20"/>
      <c r="F57" s="329"/>
      <c r="G57" s="153">
        <f>IF(Sum!$O$606&gt;G$4,0,IF(Sum!$O$606=G$4,-PMT(Sum!$O$603,Sum!$O$604,$L$134*(1+Sum!$O$605)*$E$49),IF(Sum!$O$606&lt;G$4,-PMT(Sum!$O$603,Sum!$O$604,$L$134*(1+Sum!$O$605),0))))</f>
        <v>0</v>
      </c>
      <c r="H57" s="13">
        <f>IF(Sum!$O$606&gt;H$4,0,IF(Sum!$O$606=H$4,-PMT(Sum!$O$603,Sum!$O$604,$L$134*(1+Sum!$O$605)*$E$49),IF(Sum!$O$606&lt;H$4,-PMT(Sum!$O$603,Sum!$O$604,$L$134*(1+Sum!$O$605),0))))</f>
        <v>0</v>
      </c>
      <c r="I57" s="13">
        <f>IF(Sum!$O$606&gt;I$4,0,IF(Sum!$O$606=I$4,-PMT(Sum!$O$603,Sum!$O$604,$L$134*(1+Sum!$O$605)*$E$49),IF(Sum!$O$606&lt;I$4,-PMT(Sum!$O$603,Sum!$O$604,$L$134*(1+Sum!$O$605),0))))</f>
        <v>0</v>
      </c>
      <c r="J57" s="13">
        <f>IF(Sum!$O$606&gt;J$4,0,IF(Sum!$O$606=J$4,-PMT(Sum!$O$603,Sum!$O$604,$L$134*(1+Sum!$O$605)*$E$49),IF(Sum!$O$606&lt;J$4,-PMT(Sum!$O$603,Sum!$O$604,$L$134*(1+Sum!$O$605),0))))</f>
        <v>0</v>
      </c>
      <c r="K57" s="13">
        <f>IF(Sum!$O$606&gt;K$4,0,IF(Sum!$O$606=K$4,-PMT(Sum!$O$603,Sum!$O$604,$L$134*(1+Sum!$O$605)*$E$49),IF(Sum!$O$606&lt;K$4,-PMT(Sum!$O$603,Sum!$O$604,$L$134*(1+Sum!$O$605),0))))</f>
        <v>0</v>
      </c>
      <c r="L57" s="13">
        <f>IF(Sum!$O$606&gt;L$4,0,IF(Sum!$O$606=L$4,-PMT(Sum!$O$603,Sum!$O$604,$L$134*(1+Sum!$O$605)*$E$49),IF(Sum!$O$606&lt;L$4,-PMT(Sum!$O$603,Sum!$O$604,$L$134*(1+Sum!$O$605),0))))</f>
        <v>0</v>
      </c>
      <c r="M57" s="13">
        <f>IF(Sum!$O$606&gt;M$4,0,IF(Sum!$O$606=M$4,-PMT(Sum!$O$603,Sum!$O$604,$L$134*(1+Sum!$O$605)*$E$49),IF(Sum!$O$606&lt;M$4,-PMT(Sum!$O$603,Sum!$O$604,$L$134*(1+Sum!$O$605),0))))</f>
        <v>0</v>
      </c>
      <c r="N57" s="13">
        <f>IF(Sum!$O$606&gt;N$4,0,IF(Sum!$O$606=N$4,-PMT(Sum!$O$603,Sum!$O$604,$L$134*(1+Sum!$O$605)*$E$49),IF(Sum!$O$606&lt;N$4,-PMT(Sum!$O$603,Sum!$O$604,$L$134*(1+Sum!$O$605),0))))</f>
        <v>0</v>
      </c>
      <c r="O57" s="13">
        <f>IF(Sum!$O$606&gt;O$4,0,IF(Sum!$O$606=O$4,-PMT(Sum!$O$603,Sum!$O$604,$L$134*(1+Sum!$O$605)*$E$49),IF(Sum!$O$606&lt;O$4,-PMT(Sum!$O$603,Sum!$O$604,$L$134*(1+Sum!$O$605),0))))</f>
        <v>0</v>
      </c>
      <c r="P57" s="13">
        <f>IF(Sum!$O$606&gt;P$4,0,IF(Sum!$O$606=P$4,-PMT(Sum!$O$603,Sum!$O$604,$L$134*(1+Sum!$O$605)*$E$49),IF(Sum!$O$606&lt;P$4,-PMT(Sum!$O$603,Sum!$O$604,$L$134*(1+Sum!$O$605),0))))</f>
        <v>0</v>
      </c>
    </row>
    <row r="58" spans="1:16" ht="12.75" customHeight="1" x14ac:dyDescent="0.25">
      <c r="A58" s="29"/>
      <c r="B58" s="3" t="str">
        <f>M118</f>
        <v>Series 2033</v>
      </c>
      <c r="C58" s="3"/>
      <c r="D58" s="3"/>
      <c r="E58" s="20"/>
      <c r="F58" s="329"/>
      <c r="G58" s="153">
        <f>IF(Sum!$P$606&gt;G$4,0,IF(Sum!$P$606=G$4,-PMT(Sum!$P$603,Sum!$P$604,$M$134*(1+Sum!$P$605)*$E$49),IF(Sum!$P$606&lt;G$4,-PMT(Sum!$P$603,Sum!$P$604,$M$134*(1+Sum!$P$605),0))))</f>
        <v>0</v>
      </c>
      <c r="H58" s="13">
        <f>IF(Sum!$P$606&gt;H$4,0,IF(Sum!$P$606=H$4,-PMT(Sum!$P$603,Sum!$P$604,$M$134*(1+Sum!$P$605)*$E$49),IF(Sum!$P$606&lt;H$4,-PMT(Sum!$P$603,Sum!$P$604,$M$134*(1+Sum!$P$605),0))))</f>
        <v>0</v>
      </c>
      <c r="I58" s="13">
        <f>IF(Sum!$P$606&gt;I$4,0,IF(Sum!$P$606=I$4,-PMT(Sum!$P$603,Sum!$P$604,$M$134*(1+Sum!$P$605)*$E$49),IF(Sum!$P$606&lt;I$4,-PMT(Sum!$P$603,Sum!$P$604,$M$134*(1+Sum!$P$605),0))))</f>
        <v>0</v>
      </c>
      <c r="J58" s="13">
        <f>IF(Sum!$P$606&gt;J$4,0,IF(Sum!$P$606=J$4,-PMT(Sum!$P$603,Sum!$P$604,$M$134*(1+Sum!$P$605)*$E$49),IF(Sum!$P$606&lt;J$4,-PMT(Sum!$P$603,Sum!$P$604,$M$134*(1+Sum!$P$605),0))))</f>
        <v>0</v>
      </c>
      <c r="K58" s="13">
        <f>IF(Sum!$P$606&gt;K$4,0,IF(Sum!$P$606=K$4,-PMT(Sum!$P$603,Sum!$P$604,$M$134*(1+Sum!$P$605)*$E$49),IF(Sum!$P$606&lt;K$4,-PMT(Sum!$P$603,Sum!$P$604,$M$134*(1+Sum!$P$605),0))))</f>
        <v>0</v>
      </c>
      <c r="L58" s="13">
        <f>IF(Sum!$P$606&gt;L$4,0,IF(Sum!$P$606=L$4,-PMT(Sum!$P$603,Sum!$P$604,$M$134*(1+Sum!$P$605)*$E$49),IF(Sum!$P$606&lt;L$4,-PMT(Sum!$P$603,Sum!$P$604,$M$134*(1+Sum!$P$605),0))))</f>
        <v>0</v>
      </c>
      <c r="M58" s="13">
        <f>IF(Sum!$P$606&gt;M$4,0,IF(Sum!$P$606=M$4,-PMT(Sum!$P$603,Sum!$P$604,$M$134*(1+Sum!$P$605)*$E$49),IF(Sum!$P$606&lt;M$4,-PMT(Sum!$P$603,Sum!$P$604,$M$134*(1+Sum!$P$605),0))))</f>
        <v>0</v>
      </c>
      <c r="N58" s="13">
        <f>IF(Sum!$P$606&gt;N$4,0,IF(Sum!$P$606=N$4,-PMT(Sum!$P$603,Sum!$P$604,$M$134*(1+Sum!$P$605)*$E$49),IF(Sum!$P$606&lt;N$4,-PMT(Sum!$P$603,Sum!$P$604,$M$134*(1+Sum!$P$605),0))))</f>
        <v>0</v>
      </c>
      <c r="O58" s="13">
        <f>IF(Sum!$P$606&gt;O$4,0,IF(Sum!$P$606=O$4,-PMT(Sum!$P$603,Sum!$P$604,$M$134*(1+Sum!$P$605)*$E$49),IF(Sum!$P$606&lt;O$4,-PMT(Sum!$P$603,Sum!$P$604,$M$134*(1+Sum!$P$605),0))))</f>
        <v>0</v>
      </c>
      <c r="P58" s="13">
        <f>IF(Sum!$P$606&gt;P$4,0,IF(Sum!$P$606=P$4,-PMT(Sum!$P$603,Sum!$P$604,$M$134*(1+Sum!$P$605)*$E$49),IF(Sum!$P$606&lt;P$4,-PMT(Sum!$P$603,Sum!$P$604,$M$134*(1+Sum!$P$605),0))))</f>
        <v>0</v>
      </c>
    </row>
    <row r="59" spans="1:16" ht="12.75" customHeight="1" x14ac:dyDescent="0.25">
      <c r="A59" s="29"/>
      <c r="B59" s="22" t="str">
        <f>N118</f>
        <v>Series 2034</v>
      </c>
      <c r="C59" s="22"/>
      <c r="D59" s="22"/>
      <c r="E59" s="76"/>
      <c r="F59" s="330"/>
      <c r="G59" s="154">
        <f>IF(Sum!$Q$606&gt;G$4,0,IF(Sum!$Q$606=G$4,-PMT(Sum!$Q$603,Sum!$Q$604,$N$134*(1+Sum!$Q$605)*$E$49),IF(Sum!$Q$606&lt;G$4,-PMT(Sum!$Q$603,Sum!$Q$604,$N$134*(1+Sum!$Q$605),0))))</f>
        <v>0</v>
      </c>
      <c r="H59" s="30">
        <f>IF(Sum!$Q$606&gt;H$4,0,IF(Sum!$Q$606=H$4,-PMT(Sum!$Q$603,Sum!$Q$604,$N$134*(1+Sum!$Q$605)*$E$49),IF(Sum!$Q$606&lt;H$4,-PMT(Sum!$Q$603,Sum!$Q$604,$N$134*(1+Sum!$Q$605),0))))</f>
        <v>0</v>
      </c>
      <c r="I59" s="30">
        <f>IF(Sum!$Q$606&gt;I$4,0,IF(Sum!$Q$606=I$4,-PMT(Sum!$Q$603,Sum!$Q$604,$N$134*(1+Sum!$Q$605)*$E$49),IF(Sum!$Q$606&lt;I$4,-PMT(Sum!$Q$603,Sum!$Q$604,$N$134*(1+Sum!$Q$605),0))))</f>
        <v>0</v>
      </c>
      <c r="J59" s="30">
        <f>IF(Sum!$Q$606&gt;J$4,0,IF(Sum!$Q$606=J$4,-PMT(Sum!$Q$603,Sum!$Q$604,$N$134*(1+Sum!$Q$605)*$E$49),IF(Sum!$Q$606&lt;J$4,-PMT(Sum!$Q$603,Sum!$Q$604,$N$134*(1+Sum!$Q$605),0))))</f>
        <v>0</v>
      </c>
      <c r="K59" s="30">
        <f>IF(Sum!$Q$606&gt;K$4,0,IF(Sum!$Q$606=K$4,-PMT(Sum!$Q$603,Sum!$Q$604,$N$134*(1+Sum!$Q$605)*$E$49),IF(Sum!$Q$606&lt;K$4,-PMT(Sum!$Q$603,Sum!$Q$604,$N$134*(1+Sum!$Q$605),0))))</f>
        <v>0</v>
      </c>
      <c r="L59" s="30">
        <f>IF(Sum!$Q$606&gt;L$4,0,IF(Sum!$Q$606=L$4,-PMT(Sum!$Q$603,Sum!$Q$604,$N$134*(1+Sum!$Q$605)*$E$49),IF(Sum!$Q$606&lt;L$4,-PMT(Sum!$Q$603,Sum!$Q$604,$N$134*(1+Sum!$Q$605),0))))</f>
        <v>0</v>
      </c>
      <c r="M59" s="30">
        <f>IF(Sum!$Q$606&gt;M$4,0,IF(Sum!$Q$606=M$4,-PMT(Sum!$Q$603,Sum!$Q$604,$N$134*(1+Sum!$Q$605)*$E$49),IF(Sum!$Q$606&lt;M$4,-PMT(Sum!$Q$603,Sum!$Q$604,$N$134*(1+Sum!$Q$605),0))))</f>
        <v>0</v>
      </c>
      <c r="N59" s="30">
        <f>IF(Sum!$Q$606&gt;N$4,0,IF(Sum!$Q$606=N$4,-PMT(Sum!$Q$603,Sum!$Q$604,$N$134*(1+Sum!$Q$605)*$E$49),IF(Sum!$Q$606&lt;N$4,-PMT(Sum!$Q$603,Sum!$Q$604,$N$134*(1+Sum!$Q$605),0))))</f>
        <v>0</v>
      </c>
      <c r="O59" s="30">
        <f>IF(Sum!$Q$606&gt;O$4,0,IF(Sum!$Q$606=O$4,-PMT(Sum!$Q$603,Sum!$Q$604,$N$134*(1+Sum!$Q$605)*$E$49),IF(Sum!$Q$606&lt;O$4,-PMT(Sum!$Q$603,Sum!$Q$604,$N$134*(1+Sum!$Q$605),0))))</f>
        <v>0</v>
      </c>
      <c r="P59" s="30">
        <f>IF(Sum!$Q$606&gt;P$4,0,IF(Sum!$Q$606=P$4,-PMT(Sum!$Q$603,Sum!$Q$604,$N$134*(1+Sum!$Q$605)*$E$49),IF(Sum!$Q$606&lt;P$4,-PMT(Sum!$Q$603,Sum!$Q$604,$N$134*(1+Sum!$Q$605),0))))</f>
        <v>0</v>
      </c>
    </row>
    <row r="60" spans="1:16" ht="12.75" customHeight="1" x14ac:dyDescent="0.25">
      <c r="A60" s="29"/>
      <c r="B60" s="29" t="s">
        <v>95</v>
      </c>
      <c r="C60" s="3"/>
      <c r="D60" s="3"/>
      <c r="E60" s="20"/>
      <c r="F60" s="329"/>
      <c r="G60" s="160">
        <f>SUM(G50:G59)</f>
        <v>0</v>
      </c>
      <c r="H60" s="20">
        <f>SUM(H50:H59)</f>
        <v>0</v>
      </c>
      <c r="I60" s="20">
        <f>SUM(I50:I59)</f>
        <v>50204.117411980013</v>
      </c>
      <c r="J60" s="20">
        <f t="shared" ref="J60:P60" si="32">SUM(J50:J59)</f>
        <v>100408.23482396003</v>
      </c>
      <c r="K60" s="20">
        <f t="shared" si="32"/>
        <v>100408.23482396003</v>
      </c>
      <c r="L60" s="20">
        <f t="shared" si="32"/>
        <v>100408.23482396003</v>
      </c>
      <c r="M60" s="20">
        <f t="shared" si="32"/>
        <v>100408.23482396003</v>
      </c>
      <c r="N60" s="20">
        <f t="shared" si="32"/>
        <v>100408.23482396003</v>
      </c>
      <c r="O60" s="20">
        <f t="shared" si="32"/>
        <v>100408.23482396003</v>
      </c>
      <c r="P60" s="20">
        <f t="shared" si="32"/>
        <v>100408.23482396003</v>
      </c>
    </row>
    <row r="61" spans="1:16" ht="12.75" customHeight="1" thickBot="1" x14ac:dyDescent="0.3">
      <c r="A61" s="224"/>
      <c r="B61" s="32"/>
      <c r="C61" s="32"/>
      <c r="D61" s="32"/>
      <c r="E61" s="308"/>
      <c r="F61" s="331"/>
      <c r="G61" s="309"/>
      <c r="H61" s="308"/>
      <c r="I61" s="308"/>
      <c r="J61" s="308"/>
      <c r="K61" s="308"/>
      <c r="L61" s="308"/>
      <c r="M61" s="308"/>
      <c r="N61" s="308"/>
      <c r="O61" s="308"/>
      <c r="P61" s="308"/>
    </row>
    <row r="62" spans="1:16" ht="12.75" customHeight="1" thickTop="1" x14ac:dyDescent="0.25">
      <c r="A62" s="72" t="s">
        <v>49</v>
      </c>
      <c r="B62" s="3"/>
      <c r="C62" s="3"/>
      <c r="D62" s="3"/>
      <c r="E62" s="13">
        <f t="shared" ref="E62:P62" si="33">E47+E60</f>
        <v>115359.96</v>
      </c>
      <c r="F62" s="326">
        <f t="shared" si="33"/>
        <v>123240</v>
      </c>
      <c r="G62" s="153">
        <f t="shared" si="33"/>
        <v>123242.5</v>
      </c>
      <c r="H62" s="13">
        <f t="shared" si="33"/>
        <v>123235.5</v>
      </c>
      <c r="I62" s="13">
        <f t="shared" si="33"/>
        <v>173423.11741198</v>
      </c>
      <c r="J62" s="13">
        <f t="shared" si="33"/>
        <v>223601.23482396003</v>
      </c>
      <c r="K62" s="13">
        <f t="shared" si="33"/>
        <v>223565.73482396003</v>
      </c>
      <c r="L62" s="13">
        <f t="shared" si="33"/>
        <v>223520.73482396003</v>
      </c>
      <c r="M62" s="13">
        <f t="shared" si="33"/>
        <v>223466.23482396003</v>
      </c>
      <c r="N62" s="13">
        <f t="shared" si="33"/>
        <v>223402.23482396003</v>
      </c>
      <c r="O62" s="13">
        <f t="shared" si="33"/>
        <v>223328.73482396003</v>
      </c>
      <c r="P62" s="13">
        <f t="shared" si="33"/>
        <v>223245.73482396003</v>
      </c>
    </row>
    <row r="63" spans="1:16" ht="12.75" customHeight="1" thickBot="1" x14ac:dyDescent="0.3">
      <c r="A63" s="14"/>
      <c r="B63" s="7"/>
      <c r="C63" s="7"/>
      <c r="D63" s="7"/>
      <c r="E63" s="15"/>
      <c r="F63" s="327"/>
      <c r="G63" s="155"/>
      <c r="H63" s="116"/>
      <c r="I63" s="116"/>
      <c r="J63" s="116"/>
      <c r="K63" s="116"/>
      <c r="L63" s="116"/>
      <c r="M63" s="116"/>
      <c r="N63" s="116"/>
      <c r="O63" s="116"/>
      <c r="P63" s="116"/>
    </row>
    <row r="64" spans="1:16" ht="12.75" customHeight="1" x14ac:dyDescent="0.25">
      <c r="A64" s="16"/>
      <c r="B64" s="3"/>
      <c r="C64" s="3"/>
      <c r="D64" s="3"/>
      <c r="E64" s="13"/>
      <c r="F64" s="13"/>
      <c r="G64" s="423"/>
      <c r="H64" s="13"/>
      <c r="I64" s="13"/>
      <c r="J64" s="13"/>
      <c r="K64" s="13"/>
    </row>
    <row r="65" spans="1:17" ht="12.75" customHeight="1" x14ac:dyDescent="0.25">
      <c r="A65" s="16"/>
      <c r="B65" s="3"/>
      <c r="C65" s="3"/>
      <c r="D65" s="3"/>
      <c r="E65" s="13"/>
      <c r="F65" s="101"/>
      <c r="G65" s="101"/>
      <c r="H65" s="101"/>
      <c r="I65" s="101"/>
      <c r="J65" s="101"/>
      <c r="K65" s="101"/>
    </row>
    <row r="66" spans="1:17" ht="12.75" customHeight="1" x14ac:dyDescent="0.25">
      <c r="A66" s="16"/>
      <c r="B66" s="3"/>
      <c r="C66" s="3"/>
      <c r="D66" s="3"/>
      <c r="E66" s="13"/>
      <c r="F66" s="13"/>
      <c r="G66" s="13"/>
      <c r="H66" s="13"/>
      <c r="I66" s="13"/>
      <c r="J66" s="13"/>
      <c r="K66" s="13"/>
    </row>
    <row r="67" spans="1:17" ht="12.75" customHeight="1" x14ac:dyDescent="0.25">
      <c r="A67" s="77" t="s">
        <v>244</v>
      </c>
      <c r="B67" s="3"/>
      <c r="C67" s="3"/>
      <c r="D67" s="3"/>
      <c r="E67" s="13"/>
      <c r="F67" s="13"/>
      <c r="G67" s="13"/>
      <c r="H67" s="13"/>
      <c r="I67" s="13"/>
      <c r="J67" s="13"/>
      <c r="K67" s="13"/>
    </row>
    <row r="68" spans="1:17" ht="12.75" customHeight="1" x14ac:dyDescent="0.25">
      <c r="A68" s="77" t="s">
        <v>173</v>
      </c>
      <c r="B68" s="3"/>
      <c r="C68" s="3"/>
      <c r="D68" s="3"/>
      <c r="E68" s="13"/>
      <c r="F68" s="13"/>
      <c r="G68" s="13"/>
      <c r="H68" s="20"/>
      <c r="I68" s="13"/>
      <c r="J68" s="13"/>
      <c r="K68" s="13"/>
    </row>
    <row r="69" spans="1:17" ht="12.75" customHeight="1" thickBot="1" x14ac:dyDescent="0.3">
      <c r="A69" s="78" t="s">
        <v>428</v>
      </c>
      <c r="B69" s="7"/>
      <c r="C69" s="3"/>
      <c r="D69" s="3"/>
      <c r="E69" s="20"/>
      <c r="F69" s="13"/>
      <c r="G69" s="15"/>
      <c r="H69" s="13"/>
      <c r="I69" s="13"/>
      <c r="J69" s="13"/>
      <c r="K69" s="13"/>
      <c r="L69" s="13"/>
      <c r="M69" s="13"/>
      <c r="N69" s="13"/>
    </row>
    <row r="70" spans="1:17" ht="12.75" customHeight="1" x14ac:dyDescent="0.25">
      <c r="A70" s="242" t="s">
        <v>137</v>
      </c>
      <c r="B70" s="649" t="s">
        <v>224</v>
      </c>
      <c r="C70" s="649"/>
      <c r="D70" s="649"/>
      <c r="E70" s="265" t="str">
        <f>B36</f>
        <v>Series 2020</v>
      </c>
      <c r="F70" s="265" t="str">
        <f>B37</f>
        <v>Series 2013</v>
      </c>
      <c r="G70" s="265" t="str">
        <f>B38</f>
        <v>Series XXXX</v>
      </c>
      <c r="H70" s="265" t="str">
        <f>B39</f>
        <v>Series XXXX</v>
      </c>
      <c r="I70" s="265" t="str">
        <f>B40</f>
        <v>Series XXXX</v>
      </c>
      <c r="J70" s="265" t="str">
        <f>B41</f>
        <v>Series XXXX</v>
      </c>
      <c r="K70" s="265" t="str">
        <f>B42</f>
        <v>Series XXXX</v>
      </c>
      <c r="L70" s="265" t="str">
        <f>B43</f>
        <v>Series XXXX</v>
      </c>
      <c r="M70" s="265" t="str">
        <f>B44</f>
        <v>Series XXXX</v>
      </c>
      <c r="N70" s="265" t="str">
        <f>B45</f>
        <v>Series XXXX</v>
      </c>
      <c r="O70" s="265" t="str">
        <f>B46</f>
        <v>Series XXXX</v>
      </c>
    </row>
    <row r="71" spans="1:17" ht="12.75" customHeight="1" x14ac:dyDescent="0.25">
      <c r="A71" s="267"/>
      <c r="B71" s="124"/>
      <c r="C71" s="124"/>
      <c r="D71" s="124"/>
      <c r="E71" s="124"/>
      <c r="F71" s="124"/>
      <c r="G71" s="124"/>
      <c r="H71" s="124"/>
      <c r="I71" s="124"/>
      <c r="J71" s="124"/>
      <c r="K71" s="124"/>
      <c r="L71" s="124"/>
      <c r="M71" s="124"/>
      <c r="N71" s="124"/>
      <c r="O71" s="124"/>
    </row>
    <row r="72" spans="1:17" ht="12.75" customHeight="1" x14ac:dyDescent="0.25">
      <c r="A72" s="77" t="s">
        <v>170</v>
      </c>
      <c r="B72" s="124"/>
      <c r="C72" s="124"/>
      <c r="D72" s="124"/>
      <c r="E72" s="124"/>
      <c r="F72" s="124"/>
      <c r="G72" s="124"/>
      <c r="H72" s="124"/>
      <c r="I72" s="124"/>
      <c r="J72" s="124"/>
      <c r="K72" s="124"/>
      <c r="L72" s="124"/>
      <c r="M72" s="124"/>
      <c r="N72" s="124"/>
      <c r="O72" s="124"/>
    </row>
    <row r="73" spans="1:17" ht="12.75" customHeight="1" x14ac:dyDescent="0.25">
      <c r="A73" s="3"/>
      <c r="B73" s="3" t="s">
        <v>217</v>
      </c>
      <c r="C73" s="124"/>
      <c r="D73" s="124"/>
      <c r="E73" s="54"/>
      <c r="F73" s="54"/>
      <c r="G73" s="54"/>
      <c r="H73" s="54"/>
      <c r="I73" s="54"/>
      <c r="J73" s="54"/>
      <c r="K73" s="54"/>
      <c r="L73" s="54"/>
      <c r="M73" s="54"/>
      <c r="N73" s="54"/>
      <c r="O73" s="54"/>
    </row>
    <row r="74" spans="1:17" ht="12.75" customHeight="1" x14ac:dyDescent="0.25">
      <c r="A74" s="3"/>
      <c r="B74" s="264" t="s">
        <v>46</v>
      </c>
      <c r="C74" s="3"/>
      <c r="D74" s="3"/>
      <c r="E74" s="12"/>
      <c r="F74" s="12"/>
      <c r="G74" s="12"/>
      <c r="H74" s="12"/>
      <c r="I74" s="12">
        <v>1</v>
      </c>
      <c r="J74" s="12">
        <v>1</v>
      </c>
      <c r="K74" s="12"/>
      <c r="L74" s="12">
        <v>1</v>
      </c>
      <c r="M74" s="12">
        <v>1</v>
      </c>
      <c r="N74" s="12"/>
      <c r="O74" s="12"/>
    </row>
    <row r="75" spans="1:17" ht="12.75" customHeight="1" x14ac:dyDescent="0.25">
      <c r="A75" s="3"/>
      <c r="B75" s="264" t="s">
        <v>47</v>
      </c>
      <c r="C75" s="3"/>
      <c r="D75" s="3"/>
      <c r="E75" s="12"/>
      <c r="F75" s="12"/>
      <c r="G75" s="12"/>
      <c r="H75" s="12"/>
      <c r="I75" s="12"/>
      <c r="J75" s="12"/>
      <c r="K75" s="12"/>
      <c r="L75" s="12"/>
      <c r="M75" s="12"/>
      <c r="N75" s="12"/>
      <c r="O75" s="12"/>
    </row>
    <row r="76" spans="1:17" ht="12.75" customHeight="1" x14ac:dyDescent="0.25">
      <c r="A76" s="3"/>
      <c r="B76" s="82" t="s">
        <v>143</v>
      </c>
      <c r="C76" s="3"/>
      <c r="D76" s="3"/>
      <c r="E76" s="12"/>
      <c r="F76" s="12"/>
      <c r="G76" s="12"/>
      <c r="H76" s="12"/>
      <c r="I76" s="12"/>
      <c r="J76" s="12"/>
      <c r="K76" s="12"/>
      <c r="L76" s="12"/>
      <c r="M76" s="12"/>
      <c r="N76" s="12"/>
      <c r="O76" s="12"/>
    </row>
    <row r="77" spans="1:17" ht="12.75" customHeight="1" x14ac:dyDescent="0.25">
      <c r="A77" s="3"/>
      <c r="B77" s="82" t="s">
        <v>73</v>
      </c>
      <c r="C77" s="3"/>
      <c r="D77" s="3"/>
      <c r="E77" s="12">
        <v>1</v>
      </c>
      <c r="F77" s="12">
        <v>1</v>
      </c>
      <c r="G77" s="12">
        <v>1</v>
      </c>
      <c r="H77" s="12">
        <v>1</v>
      </c>
      <c r="I77" s="12"/>
      <c r="J77" s="12"/>
      <c r="K77" s="12">
        <v>1</v>
      </c>
      <c r="L77" s="12"/>
      <c r="M77" s="12"/>
      <c r="N77" s="12">
        <v>1</v>
      </c>
      <c r="O77" s="12">
        <v>1</v>
      </c>
    </row>
    <row r="78" spans="1:17" ht="12.75" customHeight="1" x14ac:dyDescent="0.25">
      <c r="A78" s="3"/>
      <c r="B78" s="83" t="s">
        <v>144</v>
      </c>
      <c r="C78" s="22"/>
      <c r="D78" s="22"/>
      <c r="E78" s="87"/>
      <c r="F78" s="87"/>
      <c r="G78" s="87"/>
      <c r="H78" s="87"/>
      <c r="I78" s="87"/>
      <c r="J78" s="87"/>
      <c r="K78" s="87"/>
      <c r="L78" s="87"/>
      <c r="M78" s="87"/>
      <c r="N78" s="87"/>
      <c r="O78" s="87"/>
    </row>
    <row r="79" spans="1:17" ht="12.75" customHeight="1" x14ac:dyDescent="0.25">
      <c r="A79" s="127"/>
      <c r="B79" s="129" t="s">
        <v>117</v>
      </c>
      <c r="C79" s="3"/>
      <c r="D79" s="3"/>
      <c r="E79" s="13">
        <f t="shared" ref="E79:O79" si="34">SUM(E74:E78)</f>
        <v>1</v>
      </c>
      <c r="F79" s="13">
        <f t="shared" si="34"/>
        <v>1</v>
      </c>
      <c r="G79" s="13">
        <f t="shared" si="34"/>
        <v>1</v>
      </c>
      <c r="H79" s="13">
        <f t="shared" si="34"/>
        <v>1</v>
      </c>
      <c r="I79" s="13">
        <f t="shared" si="34"/>
        <v>1</v>
      </c>
      <c r="J79" s="13">
        <f t="shared" si="34"/>
        <v>1</v>
      </c>
      <c r="K79" s="13">
        <f t="shared" si="34"/>
        <v>1</v>
      </c>
      <c r="L79" s="13">
        <f t="shared" si="34"/>
        <v>1</v>
      </c>
      <c r="M79" s="13">
        <f t="shared" si="34"/>
        <v>1</v>
      </c>
      <c r="N79" s="13">
        <f t="shared" si="34"/>
        <v>1</v>
      </c>
      <c r="O79" s="13">
        <f t="shared" si="34"/>
        <v>1</v>
      </c>
      <c r="Q79" s="376"/>
    </row>
    <row r="80" spans="1:17" ht="12.75" customHeight="1" x14ac:dyDescent="0.25">
      <c r="A80" s="127"/>
      <c r="B80" s="13"/>
      <c r="C80" s="3"/>
      <c r="D80" s="3"/>
      <c r="E80" s="13"/>
      <c r="F80" s="13"/>
      <c r="G80" s="13"/>
      <c r="H80" s="13"/>
      <c r="I80" s="13"/>
      <c r="J80" s="13"/>
      <c r="K80" s="13"/>
      <c r="L80" s="13"/>
      <c r="M80" s="13"/>
      <c r="N80" s="13"/>
      <c r="O80" s="13"/>
    </row>
    <row r="81" spans="1:15" ht="12.75" customHeight="1" x14ac:dyDescent="0.25">
      <c r="A81" s="16"/>
      <c r="B81" s="82" t="s">
        <v>48</v>
      </c>
      <c r="C81" s="3"/>
      <c r="D81" s="3"/>
      <c r="E81" s="23"/>
      <c r="F81" s="23"/>
      <c r="G81" s="23"/>
      <c r="H81" s="23"/>
      <c r="I81" s="23"/>
      <c r="J81" s="23"/>
      <c r="K81" s="23"/>
      <c r="L81" s="23"/>
      <c r="M81" s="23"/>
      <c r="N81" s="23"/>
      <c r="O81" s="23"/>
    </row>
    <row r="82" spans="1:15" ht="12.75" customHeight="1" x14ac:dyDescent="0.25">
      <c r="A82" s="82"/>
      <c r="B82" s="129" t="s">
        <v>145</v>
      </c>
      <c r="C82" s="3"/>
      <c r="D82" s="3"/>
      <c r="E82" s="12"/>
      <c r="F82" s="12"/>
      <c r="G82" s="12"/>
      <c r="H82" s="12"/>
      <c r="I82" s="12"/>
      <c r="J82" s="12"/>
      <c r="K82" s="12"/>
      <c r="L82" s="12"/>
      <c r="M82" s="12"/>
      <c r="N82" s="12">
        <v>1</v>
      </c>
      <c r="O82" s="12">
        <v>1</v>
      </c>
    </row>
    <row r="83" spans="1:15" ht="12.75" customHeight="1" x14ac:dyDescent="0.25">
      <c r="A83" s="82"/>
      <c r="B83" s="129" t="s">
        <v>146</v>
      </c>
      <c r="C83" s="3"/>
      <c r="D83" s="3"/>
      <c r="E83" s="12"/>
      <c r="F83" s="12"/>
      <c r="G83" s="12"/>
      <c r="H83" s="12"/>
      <c r="I83" s="12"/>
      <c r="J83" s="12"/>
      <c r="K83" s="12">
        <v>1</v>
      </c>
      <c r="L83" s="12"/>
      <c r="M83" s="12"/>
      <c r="N83" s="12"/>
      <c r="O83" s="12"/>
    </row>
    <row r="84" spans="1:15" ht="12.75" customHeight="1" x14ac:dyDescent="0.25">
      <c r="A84" s="82"/>
      <c r="B84" s="266" t="s">
        <v>147</v>
      </c>
      <c r="C84" s="22"/>
      <c r="D84" s="22"/>
      <c r="E84" s="87">
        <v>1</v>
      </c>
      <c r="F84" s="87">
        <v>1</v>
      </c>
      <c r="G84" s="87">
        <v>1</v>
      </c>
      <c r="H84" s="87">
        <v>1</v>
      </c>
      <c r="I84" s="87">
        <v>1</v>
      </c>
      <c r="J84" s="87">
        <v>1</v>
      </c>
      <c r="K84" s="87"/>
      <c r="L84" s="87">
        <v>1</v>
      </c>
      <c r="M84" s="87">
        <v>1</v>
      </c>
      <c r="N84" s="87"/>
      <c r="O84" s="87"/>
    </row>
    <row r="85" spans="1:15" ht="12.75" customHeight="1" x14ac:dyDescent="0.25">
      <c r="A85" s="128"/>
      <c r="B85" s="129" t="s">
        <v>115</v>
      </c>
      <c r="C85" s="3"/>
      <c r="D85" s="3"/>
      <c r="E85" s="20">
        <f t="shared" ref="E85:O85" si="35">SUM(E81:E84)</f>
        <v>1</v>
      </c>
      <c r="F85" s="20">
        <f t="shared" si="35"/>
        <v>1</v>
      </c>
      <c r="G85" s="20">
        <f t="shared" si="35"/>
        <v>1</v>
      </c>
      <c r="H85" s="20">
        <f t="shared" si="35"/>
        <v>1</v>
      </c>
      <c r="I85" s="20">
        <f t="shared" si="35"/>
        <v>1</v>
      </c>
      <c r="J85" s="20">
        <f t="shared" si="35"/>
        <v>1</v>
      </c>
      <c r="K85" s="20">
        <f t="shared" si="35"/>
        <v>1</v>
      </c>
      <c r="L85" s="20">
        <f t="shared" si="35"/>
        <v>1</v>
      </c>
      <c r="M85" s="20">
        <f t="shared" si="35"/>
        <v>1</v>
      </c>
      <c r="N85" s="20">
        <f t="shared" si="35"/>
        <v>1</v>
      </c>
      <c r="O85" s="20">
        <f t="shared" si="35"/>
        <v>1</v>
      </c>
    </row>
    <row r="86" spans="1:15" ht="12.75" customHeight="1" x14ac:dyDescent="0.25">
      <c r="A86" s="128"/>
      <c r="B86" s="129"/>
      <c r="C86" s="3"/>
      <c r="D86" s="3"/>
      <c r="E86" s="20"/>
      <c r="F86" s="20"/>
      <c r="G86" s="20"/>
      <c r="H86" s="20"/>
      <c r="I86" s="20"/>
      <c r="J86" s="20"/>
      <c r="K86" s="20"/>
      <c r="L86" s="20"/>
      <c r="M86" s="20"/>
      <c r="N86" s="20"/>
      <c r="O86" s="20"/>
    </row>
    <row r="87" spans="1:15" ht="12.75" customHeight="1" x14ac:dyDescent="0.25">
      <c r="A87" s="62"/>
      <c r="B87" s="62" t="s">
        <v>251</v>
      </c>
      <c r="C87" s="124"/>
      <c r="D87" s="124"/>
      <c r="E87" s="54"/>
      <c r="F87" s="54"/>
      <c r="G87" s="54"/>
      <c r="H87" s="54"/>
      <c r="I87" s="54"/>
      <c r="J87" s="54"/>
      <c r="K87" s="54"/>
      <c r="L87" s="54"/>
      <c r="M87" s="54"/>
      <c r="N87" s="54"/>
      <c r="O87" s="54"/>
    </row>
    <row r="88" spans="1:15" ht="12.75" customHeight="1" x14ac:dyDescent="0.25">
      <c r="A88" s="3"/>
      <c r="B88" s="142" t="s">
        <v>258</v>
      </c>
      <c r="C88" s="269"/>
      <c r="D88" s="269"/>
      <c r="E88" s="87"/>
      <c r="F88" s="87"/>
      <c r="G88" s="87"/>
      <c r="H88" s="87"/>
      <c r="I88" s="87"/>
      <c r="J88" s="87"/>
      <c r="K88" s="87"/>
      <c r="L88" s="87"/>
      <c r="M88" s="87"/>
      <c r="N88" s="87"/>
      <c r="O88" s="87"/>
    </row>
    <row r="89" spans="1:15" ht="12.75" customHeight="1" x14ac:dyDescent="0.25">
      <c r="A89" s="3"/>
      <c r="B89" s="129" t="s">
        <v>116</v>
      </c>
      <c r="C89" s="3"/>
      <c r="D89" s="3"/>
      <c r="E89" s="13">
        <f t="shared" ref="E89:O89" si="36">SUM(E88)</f>
        <v>0</v>
      </c>
      <c r="F89" s="13">
        <f t="shared" si="36"/>
        <v>0</v>
      </c>
      <c r="G89" s="13">
        <f t="shared" si="36"/>
        <v>0</v>
      </c>
      <c r="H89" s="13">
        <f t="shared" si="36"/>
        <v>0</v>
      </c>
      <c r="I89" s="13">
        <f t="shared" si="36"/>
        <v>0</v>
      </c>
      <c r="J89" s="13">
        <f t="shared" si="36"/>
        <v>0</v>
      </c>
      <c r="K89" s="13">
        <f t="shared" si="36"/>
        <v>0</v>
      </c>
      <c r="L89" s="13">
        <f t="shared" si="36"/>
        <v>0</v>
      </c>
      <c r="M89" s="13">
        <f t="shared" si="36"/>
        <v>0</v>
      </c>
      <c r="N89" s="13">
        <f t="shared" si="36"/>
        <v>0</v>
      </c>
      <c r="O89" s="13">
        <f t="shared" si="36"/>
        <v>0</v>
      </c>
    </row>
    <row r="90" spans="1:15" ht="12.75" customHeight="1" thickBot="1" x14ac:dyDescent="0.3">
      <c r="A90" s="82"/>
      <c r="B90" s="33"/>
      <c r="C90" s="32"/>
      <c r="D90" s="32"/>
      <c r="E90" s="33"/>
      <c r="F90" s="33"/>
      <c r="G90" s="33"/>
      <c r="H90" s="33"/>
      <c r="I90" s="33"/>
      <c r="J90" s="33"/>
      <c r="K90" s="33"/>
      <c r="L90" s="33"/>
      <c r="M90" s="33"/>
      <c r="N90" s="33"/>
      <c r="O90" s="33"/>
    </row>
    <row r="91" spans="1:15" ht="12.75" customHeight="1" thickTop="1" x14ac:dyDescent="0.25">
      <c r="A91" s="278"/>
      <c r="B91" s="82" t="s">
        <v>219</v>
      </c>
      <c r="C91" s="3"/>
      <c r="D91" s="3"/>
      <c r="E91" s="13">
        <f t="shared" ref="E91:J91" si="37">E79+E85+E89</f>
        <v>2</v>
      </c>
      <c r="F91" s="13">
        <f t="shared" si="37"/>
        <v>2</v>
      </c>
      <c r="G91" s="13">
        <f t="shared" si="37"/>
        <v>2</v>
      </c>
      <c r="H91" s="13">
        <f t="shared" si="37"/>
        <v>2</v>
      </c>
      <c r="I91" s="13">
        <f t="shared" si="37"/>
        <v>2</v>
      </c>
      <c r="J91" s="13">
        <f t="shared" si="37"/>
        <v>2</v>
      </c>
      <c r="K91" s="13">
        <f>K89+K79+K85</f>
        <v>2</v>
      </c>
      <c r="L91" s="13">
        <f>L89+L79+L85</f>
        <v>2</v>
      </c>
      <c r="M91" s="13">
        <f>M89+M79+M85</f>
        <v>2</v>
      </c>
      <c r="N91" s="13">
        <f>N89+N79+N85</f>
        <v>2</v>
      </c>
      <c r="O91" s="13">
        <f>O89+O79+O85</f>
        <v>2</v>
      </c>
    </row>
    <row r="92" spans="1:15" ht="12.75" customHeight="1" x14ac:dyDescent="0.25">
      <c r="A92" s="129"/>
      <c r="B92" s="13"/>
      <c r="C92" s="3"/>
      <c r="D92" s="3"/>
      <c r="E92" s="23"/>
      <c r="F92" s="23"/>
      <c r="G92" s="23"/>
      <c r="H92" s="23"/>
      <c r="I92" s="23"/>
      <c r="J92" s="23"/>
      <c r="K92" s="23"/>
      <c r="L92" s="23"/>
      <c r="M92" s="23"/>
      <c r="N92" s="23"/>
      <c r="O92" s="23"/>
    </row>
    <row r="93" spans="1:15" ht="12.75" customHeight="1" x14ac:dyDescent="0.25">
      <c r="A93" s="278" t="s">
        <v>171</v>
      </c>
      <c r="B93" s="13"/>
      <c r="C93" s="3"/>
      <c r="D93" s="3"/>
      <c r="E93" s="13"/>
      <c r="F93" s="13"/>
      <c r="G93" s="13"/>
      <c r="H93" s="13"/>
      <c r="I93" s="13"/>
      <c r="J93" s="13"/>
      <c r="K93" s="13"/>
      <c r="L93" s="13"/>
      <c r="M93" s="13"/>
      <c r="N93" s="13"/>
      <c r="O93" s="13"/>
    </row>
    <row r="94" spans="1:15" ht="12.75" customHeight="1" x14ac:dyDescent="0.25">
      <c r="A94" s="3"/>
      <c r="B94" s="3" t="s">
        <v>217</v>
      </c>
      <c r="C94" s="124"/>
      <c r="D94" s="124"/>
      <c r="E94" s="124"/>
      <c r="F94" s="38"/>
      <c r="G94" s="38"/>
      <c r="H94" s="38"/>
      <c r="I94" s="38"/>
      <c r="J94" s="38"/>
      <c r="K94" s="38"/>
      <c r="L94" s="38"/>
      <c r="M94" s="38"/>
      <c r="N94" s="38"/>
      <c r="O94" s="38"/>
    </row>
    <row r="95" spans="1:15" ht="12.75" customHeight="1" x14ac:dyDescent="0.25">
      <c r="A95" s="3"/>
      <c r="B95" s="264" t="s">
        <v>46</v>
      </c>
      <c r="C95" s="3"/>
      <c r="D95" s="3"/>
      <c r="E95" s="23">
        <f t="shared" ref="E95:K95" si="38">IF(E$79&gt;0,E74/E$79,0)</f>
        <v>0</v>
      </c>
      <c r="F95" s="23">
        <f t="shared" si="38"/>
        <v>0</v>
      </c>
      <c r="G95" s="23">
        <f t="shared" si="38"/>
        <v>0</v>
      </c>
      <c r="H95" s="23">
        <f t="shared" si="38"/>
        <v>0</v>
      </c>
      <c r="I95" s="23">
        <f t="shared" ref="I95" si="39">IF(I$79&gt;0,I74/I$79,0)</f>
        <v>1</v>
      </c>
      <c r="J95" s="23">
        <f t="shared" si="38"/>
        <v>1</v>
      </c>
      <c r="K95" s="23">
        <f t="shared" si="38"/>
        <v>0</v>
      </c>
      <c r="L95" s="23">
        <f t="shared" ref="L95:O99" si="40">IF(L$79&gt;0,L74/L$79,0)</f>
        <v>1</v>
      </c>
      <c r="M95" s="23">
        <f t="shared" si="40"/>
        <v>1</v>
      </c>
      <c r="N95" s="23">
        <f t="shared" si="40"/>
        <v>0</v>
      </c>
      <c r="O95" s="23">
        <f t="shared" si="40"/>
        <v>0</v>
      </c>
    </row>
    <row r="96" spans="1:15" ht="12.75" customHeight="1" x14ac:dyDescent="0.25">
      <c r="A96" s="3"/>
      <c r="B96" s="264" t="s">
        <v>47</v>
      </c>
      <c r="C96" s="3"/>
      <c r="D96" s="3"/>
      <c r="E96" s="23">
        <f t="shared" ref="E96:K96" si="41">IF(E$79&gt;0,E75/E$79,0)</f>
        <v>0</v>
      </c>
      <c r="F96" s="23">
        <f t="shared" si="41"/>
        <v>0</v>
      </c>
      <c r="G96" s="23">
        <f t="shared" si="41"/>
        <v>0</v>
      </c>
      <c r="H96" s="23">
        <f t="shared" si="41"/>
        <v>0</v>
      </c>
      <c r="I96" s="23">
        <f t="shared" ref="I96" si="42">IF(I$79&gt;0,I75/I$79,0)</f>
        <v>0</v>
      </c>
      <c r="J96" s="23">
        <f t="shared" si="41"/>
        <v>0</v>
      </c>
      <c r="K96" s="23">
        <f t="shared" si="41"/>
        <v>0</v>
      </c>
      <c r="L96" s="23">
        <f t="shared" si="40"/>
        <v>0</v>
      </c>
      <c r="M96" s="23">
        <f t="shared" si="40"/>
        <v>0</v>
      </c>
      <c r="N96" s="23">
        <f t="shared" si="40"/>
        <v>0</v>
      </c>
      <c r="O96" s="23">
        <f t="shared" si="40"/>
        <v>0</v>
      </c>
    </row>
    <row r="97" spans="1:15" ht="12.75" customHeight="1" x14ac:dyDescent="0.25">
      <c r="A97" s="3"/>
      <c r="B97" s="82" t="s">
        <v>143</v>
      </c>
      <c r="C97" s="3"/>
      <c r="D97" s="3"/>
      <c r="E97" s="23">
        <f t="shared" ref="E97:K97" si="43">IF(E$79&gt;0,E76/E$79,0)</f>
        <v>0</v>
      </c>
      <c r="F97" s="23">
        <f t="shared" si="43"/>
        <v>0</v>
      </c>
      <c r="G97" s="23">
        <f t="shared" si="43"/>
        <v>0</v>
      </c>
      <c r="H97" s="23">
        <f t="shared" si="43"/>
        <v>0</v>
      </c>
      <c r="I97" s="23">
        <f t="shared" ref="I97" si="44">IF(I$79&gt;0,I76/I$79,0)</f>
        <v>0</v>
      </c>
      <c r="J97" s="23">
        <f t="shared" si="43"/>
        <v>0</v>
      </c>
      <c r="K97" s="23">
        <f t="shared" si="43"/>
        <v>0</v>
      </c>
      <c r="L97" s="23">
        <f t="shared" si="40"/>
        <v>0</v>
      </c>
      <c r="M97" s="23">
        <f t="shared" si="40"/>
        <v>0</v>
      </c>
      <c r="N97" s="23">
        <f t="shared" si="40"/>
        <v>0</v>
      </c>
      <c r="O97" s="23">
        <f t="shared" si="40"/>
        <v>0</v>
      </c>
    </row>
    <row r="98" spans="1:15" ht="12.75" customHeight="1" x14ac:dyDescent="0.25">
      <c r="A98" s="3"/>
      <c r="B98" s="82" t="s">
        <v>73</v>
      </c>
      <c r="C98" s="3"/>
      <c r="D98" s="3"/>
      <c r="E98" s="23">
        <f t="shared" ref="E98:K98" si="45">IF(E$79&gt;0,E77/E$79,0)</f>
        <v>1</v>
      </c>
      <c r="F98" s="23">
        <f t="shared" si="45"/>
        <v>1</v>
      </c>
      <c r="G98" s="23">
        <f t="shared" si="45"/>
        <v>1</v>
      </c>
      <c r="H98" s="23">
        <f t="shared" si="45"/>
        <v>1</v>
      </c>
      <c r="I98" s="23">
        <f t="shared" ref="I98" si="46">IF(I$79&gt;0,I77/I$79,0)</f>
        <v>0</v>
      </c>
      <c r="J98" s="23">
        <f t="shared" si="45"/>
        <v>0</v>
      </c>
      <c r="K98" s="23">
        <f t="shared" si="45"/>
        <v>1</v>
      </c>
      <c r="L98" s="23">
        <f t="shared" si="40"/>
        <v>0</v>
      </c>
      <c r="M98" s="23">
        <f t="shared" si="40"/>
        <v>0</v>
      </c>
      <c r="N98" s="23">
        <f t="shared" si="40"/>
        <v>1</v>
      </c>
      <c r="O98" s="23">
        <f t="shared" si="40"/>
        <v>1</v>
      </c>
    </row>
    <row r="99" spans="1:15" ht="12.75" customHeight="1" x14ac:dyDescent="0.25">
      <c r="A99" s="3"/>
      <c r="B99" s="83" t="s">
        <v>144</v>
      </c>
      <c r="C99" s="22"/>
      <c r="D99" s="22"/>
      <c r="E99" s="339">
        <f t="shared" ref="E99:K99" si="47">IF(E$79&gt;0,E78/E$79,0)</f>
        <v>0</v>
      </c>
      <c r="F99" s="339">
        <f t="shared" si="47"/>
        <v>0</v>
      </c>
      <c r="G99" s="339">
        <f t="shared" si="47"/>
        <v>0</v>
      </c>
      <c r="H99" s="339">
        <f t="shared" si="47"/>
        <v>0</v>
      </c>
      <c r="I99" s="339">
        <f t="shared" ref="I99" si="48">IF(I$79&gt;0,I78/I$79,0)</f>
        <v>0</v>
      </c>
      <c r="J99" s="339">
        <f t="shared" si="47"/>
        <v>0</v>
      </c>
      <c r="K99" s="339">
        <f t="shared" si="47"/>
        <v>0</v>
      </c>
      <c r="L99" s="339">
        <f t="shared" si="40"/>
        <v>0</v>
      </c>
      <c r="M99" s="339">
        <f t="shared" si="40"/>
        <v>0</v>
      </c>
      <c r="N99" s="339">
        <f t="shared" si="40"/>
        <v>0</v>
      </c>
      <c r="O99" s="339">
        <f t="shared" si="40"/>
        <v>0</v>
      </c>
    </row>
    <row r="100" spans="1:15" ht="12.75" customHeight="1" x14ac:dyDescent="0.25">
      <c r="A100" s="127"/>
      <c r="B100" s="129" t="s">
        <v>117</v>
      </c>
      <c r="C100" s="3"/>
      <c r="D100" s="3"/>
      <c r="E100" s="23">
        <f t="shared" ref="E100:K100" si="49">SUM(E95:E99)</f>
        <v>1</v>
      </c>
      <c r="F100" s="23">
        <f t="shared" si="49"/>
        <v>1</v>
      </c>
      <c r="G100" s="23">
        <f t="shared" si="49"/>
        <v>1</v>
      </c>
      <c r="H100" s="23">
        <f t="shared" si="49"/>
        <v>1</v>
      </c>
      <c r="I100" s="23">
        <f t="shared" ref="I100" si="50">SUM(I95:I99)</f>
        <v>1</v>
      </c>
      <c r="J100" s="23">
        <f t="shared" si="49"/>
        <v>1</v>
      </c>
      <c r="K100" s="23">
        <f t="shared" si="49"/>
        <v>1</v>
      </c>
      <c r="L100" s="23">
        <f>SUM(L95:L99)</f>
        <v>1</v>
      </c>
      <c r="M100" s="23">
        <f>SUM(M95:M99)</f>
        <v>1</v>
      </c>
      <c r="N100" s="23">
        <f>SUM(N95:N99)</f>
        <v>1</v>
      </c>
      <c r="O100" s="23">
        <f>SUM(O95:O99)</f>
        <v>1</v>
      </c>
    </row>
    <row r="101" spans="1:15" ht="12.75" customHeight="1" x14ac:dyDescent="0.25">
      <c r="A101" s="127"/>
      <c r="B101" s="13"/>
      <c r="C101" s="3"/>
      <c r="D101" s="3"/>
      <c r="E101" s="23"/>
      <c r="F101" s="23"/>
      <c r="G101" s="23"/>
      <c r="H101" s="23"/>
      <c r="I101" s="23"/>
      <c r="J101" s="23"/>
      <c r="K101" s="23"/>
      <c r="L101" s="23"/>
      <c r="M101" s="23"/>
      <c r="N101" s="23"/>
      <c r="O101" s="23"/>
    </row>
    <row r="102" spans="1:15" ht="12.75" customHeight="1" x14ac:dyDescent="0.25">
      <c r="A102" s="82"/>
      <c r="B102" s="82" t="s">
        <v>48</v>
      </c>
      <c r="C102" s="3"/>
      <c r="D102" s="3"/>
      <c r="E102" s="23"/>
      <c r="F102" s="23"/>
      <c r="G102" s="23"/>
      <c r="H102" s="23"/>
      <c r="I102" s="23"/>
      <c r="J102" s="23"/>
      <c r="K102" s="23"/>
      <c r="L102" s="23"/>
      <c r="M102" s="23"/>
      <c r="N102" s="23"/>
      <c r="O102" s="23"/>
    </row>
    <row r="103" spans="1:15" ht="12.75" customHeight="1" x14ac:dyDescent="0.25">
      <c r="A103" s="82"/>
      <c r="B103" s="129" t="s">
        <v>145</v>
      </c>
      <c r="C103" s="3"/>
      <c r="D103" s="3"/>
      <c r="E103" s="23">
        <f t="shared" ref="E103:K103" si="51">IF(E$85&gt;0,E82/E$85,0)</f>
        <v>0</v>
      </c>
      <c r="F103" s="23">
        <f t="shared" si="51"/>
        <v>0</v>
      </c>
      <c r="G103" s="23">
        <f t="shared" si="51"/>
        <v>0</v>
      </c>
      <c r="H103" s="23">
        <f t="shared" si="51"/>
        <v>0</v>
      </c>
      <c r="I103" s="23">
        <f t="shared" ref="I103" si="52">IF(I$85&gt;0,I82/I$85,0)</f>
        <v>0</v>
      </c>
      <c r="J103" s="23">
        <f t="shared" si="51"/>
        <v>0</v>
      </c>
      <c r="K103" s="23">
        <f t="shared" si="51"/>
        <v>0</v>
      </c>
      <c r="L103" s="23">
        <f t="shared" ref="L103:O105" si="53">IF(L$85&gt;0,L82/L$85,0)</f>
        <v>0</v>
      </c>
      <c r="M103" s="23">
        <f t="shared" si="53"/>
        <v>0</v>
      </c>
      <c r="N103" s="23">
        <f t="shared" si="53"/>
        <v>1</v>
      </c>
      <c r="O103" s="23">
        <f t="shared" si="53"/>
        <v>1</v>
      </c>
    </row>
    <row r="104" spans="1:15" ht="12.75" customHeight="1" x14ac:dyDescent="0.25">
      <c r="A104" s="82"/>
      <c r="B104" s="129" t="s">
        <v>146</v>
      </c>
      <c r="C104" s="3"/>
      <c r="D104" s="3"/>
      <c r="E104" s="23">
        <f t="shared" ref="E104:K104" si="54">IF(E$85&gt;0,E83/E$85,0)</f>
        <v>0</v>
      </c>
      <c r="F104" s="23">
        <f t="shared" si="54"/>
        <v>0</v>
      </c>
      <c r="G104" s="23">
        <f t="shared" si="54"/>
        <v>0</v>
      </c>
      <c r="H104" s="23">
        <f t="shared" si="54"/>
        <v>0</v>
      </c>
      <c r="I104" s="23">
        <f t="shared" ref="I104" si="55">IF(I$85&gt;0,I83/I$85,0)</f>
        <v>0</v>
      </c>
      <c r="J104" s="23">
        <f t="shared" si="54"/>
        <v>0</v>
      </c>
      <c r="K104" s="23">
        <f t="shared" si="54"/>
        <v>1</v>
      </c>
      <c r="L104" s="23">
        <f t="shared" si="53"/>
        <v>0</v>
      </c>
      <c r="M104" s="23">
        <f t="shared" si="53"/>
        <v>0</v>
      </c>
      <c r="N104" s="23">
        <f t="shared" si="53"/>
        <v>0</v>
      </c>
      <c r="O104" s="23">
        <f t="shared" si="53"/>
        <v>0</v>
      </c>
    </row>
    <row r="105" spans="1:15" ht="12.75" customHeight="1" x14ac:dyDescent="0.25">
      <c r="A105" s="82"/>
      <c r="B105" s="266" t="s">
        <v>147</v>
      </c>
      <c r="C105" s="22"/>
      <c r="D105" s="22"/>
      <c r="E105" s="339">
        <f t="shared" ref="E105:K105" si="56">IF(E$85&gt;0,E84/E$85,0)</f>
        <v>1</v>
      </c>
      <c r="F105" s="339">
        <f t="shared" si="56"/>
        <v>1</v>
      </c>
      <c r="G105" s="339">
        <f t="shared" si="56"/>
        <v>1</v>
      </c>
      <c r="H105" s="339">
        <f t="shared" si="56"/>
        <v>1</v>
      </c>
      <c r="I105" s="339">
        <f t="shared" ref="I105" si="57">IF(I$85&gt;0,I84/I$85,0)</f>
        <v>1</v>
      </c>
      <c r="J105" s="339">
        <f t="shared" si="56"/>
        <v>1</v>
      </c>
      <c r="K105" s="339">
        <f t="shared" si="56"/>
        <v>0</v>
      </c>
      <c r="L105" s="339">
        <f t="shared" si="53"/>
        <v>1</v>
      </c>
      <c r="M105" s="339">
        <f t="shared" si="53"/>
        <v>1</v>
      </c>
      <c r="N105" s="339">
        <f t="shared" si="53"/>
        <v>0</v>
      </c>
      <c r="O105" s="339">
        <f t="shared" si="53"/>
        <v>0</v>
      </c>
    </row>
    <row r="106" spans="1:15" ht="12.75" customHeight="1" x14ac:dyDescent="0.25">
      <c r="A106" s="128"/>
      <c r="B106" s="129" t="s">
        <v>115</v>
      </c>
      <c r="C106" s="3"/>
      <c r="D106" s="3"/>
      <c r="E106" s="54">
        <f t="shared" ref="E106:K106" si="58">SUM(E103:E105)</f>
        <v>1</v>
      </c>
      <c r="F106" s="23">
        <f t="shared" si="58"/>
        <v>1</v>
      </c>
      <c r="G106" s="23">
        <f t="shared" si="58"/>
        <v>1</v>
      </c>
      <c r="H106" s="23">
        <f t="shared" si="58"/>
        <v>1</v>
      </c>
      <c r="I106" s="23">
        <f t="shared" ref="I106" si="59">SUM(I103:I105)</f>
        <v>1</v>
      </c>
      <c r="J106" s="23">
        <f t="shared" si="58"/>
        <v>1</v>
      </c>
      <c r="K106" s="23">
        <f t="shared" si="58"/>
        <v>1</v>
      </c>
      <c r="L106" s="23">
        <f>SUM(L103:L105)</f>
        <v>1</v>
      </c>
      <c r="M106" s="23">
        <f>SUM(M103:M105)</f>
        <v>1</v>
      </c>
      <c r="N106" s="23">
        <f>SUM(N103:N105)</f>
        <v>1</v>
      </c>
      <c r="O106" s="23">
        <f>SUM(O103:O105)</f>
        <v>1</v>
      </c>
    </row>
    <row r="107" spans="1:15" ht="12.75" customHeight="1" x14ac:dyDescent="0.25">
      <c r="A107" s="128"/>
      <c r="B107" s="129"/>
      <c r="C107" s="3"/>
      <c r="D107" s="3"/>
      <c r="E107" s="54"/>
      <c r="F107" s="23"/>
      <c r="G107" s="23"/>
      <c r="H107" s="23"/>
      <c r="I107" s="23"/>
      <c r="J107" s="23"/>
      <c r="K107" s="23"/>
      <c r="L107" s="23"/>
      <c r="M107" s="23"/>
      <c r="N107" s="23"/>
      <c r="O107" s="23"/>
    </row>
    <row r="108" spans="1:15" ht="12.75" customHeight="1" x14ac:dyDescent="0.25">
      <c r="A108" s="62"/>
      <c r="B108" s="62" t="s">
        <v>251</v>
      </c>
      <c r="C108" s="124"/>
      <c r="D108" s="124"/>
      <c r="E108" s="381"/>
      <c r="F108" s="23"/>
      <c r="G108" s="23"/>
      <c r="H108" s="23"/>
      <c r="I108" s="23"/>
      <c r="J108" s="23"/>
      <c r="K108" s="23"/>
      <c r="L108" s="23"/>
      <c r="M108" s="23"/>
      <c r="N108" s="23"/>
      <c r="O108" s="23"/>
    </row>
    <row r="109" spans="1:15" ht="12.75" customHeight="1" x14ac:dyDescent="0.25">
      <c r="A109" s="3"/>
      <c r="B109" s="142" t="s">
        <v>258</v>
      </c>
      <c r="C109" s="269"/>
      <c r="D109" s="269"/>
      <c r="E109" s="55">
        <f t="shared" ref="E109:K109" si="60">IF(E$89&gt;0,E88/E$89,0)</f>
        <v>0</v>
      </c>
      <c r="F109" s="339">
        <f t="shared" si="60"/>
        <v>0</v>
      </c>
      <c r="G109" s="339">
        <f t="shared" si="60"/>
        <v>0</v>
      </c>
      <c r="H109" s="339">
        <f t="shared" si="60"/>
        <v>0</v>
      </c>
      <c r="I109" s="339">
        <f t="shared" ref="I109" si="61">IF(I$89&gt;0,I88/I$89,0)</f>
        <v>0</v>
      </c>
      <c r="J109" s="339">
        <f t="shared" si="60"/>
        <v>0</v>
      </c>
      <c r="K109" s="339">
        <f t="shared" si="60"/>
        <v>0</v>
      </c>
      <c r="L109" s="339">
        <f>IF(L$89&gt;0,L88/L$89,0)</f>
        <v>0</v>
      </c>
      <c r="M109" s="339">
        <f>IF(M$89&gt;0,M88/M$89,0)</f>
        <v>0</v>
      </c>
      <c r="N109" s="339">
        <f>IF(N$89&gt;0,N88/N$89,0)</f>
        <v>0</v>
      </c>
      <c r="O109" s="339">
        <f>IF(O$89&gt;0,O88/O$89,0)</f>
        <v>0</v>
      </c>
    </row>
    <row r="110" spans="1:15" ht="12.75" customHeight="1" x14ac:dyDescent="0.25">
      <c r="A110" s="3"/>
      <c r="B110" s="129" t="s">
        <v>116</v>
      </c>
      <c r="C110" s="3"/>
      <c r="D110" s="3"/>
      <c r="E110" s="23">
        <f t="shared" ref="E110:K110" si="62">E109</f>
        <v>0</v>
      </c>
      <c r="F110" s="23">
        <f t="shared" si="62"/>
        <v>0</v>
      </c>
      <c r="G110" s="23">
        <f t="shared" si="62"/>
        <v>0</v>
      </c>
      <c r="H110" s="23">
        <f t="shared" si="62"/>
        <v>0</v>
      </c>
      <c r="I110" s="23">
        <f t="shared" ref="I110" si="63">I109</f>
        <v>0</v>
      </c>
      <c r="J110" s="23">
        <f t="shared" si="62"/>
        <v>0</v>
      </c>
      <c r="K110" s="23">
        <f t="shared" si="62"/>
        <v>0</v>
      </c>
      <c r="L110" s="23">
        <f>L109</f>
        <v>0</v>
      </c>
      <c r="M110" s="23">
        <f>M109</f>
        <v>0</v>
      </c>
      <c r="N110" s="23">
        <f>N109</f>
        <v>0</v>
      </c>
      <c r="O110" s="23">
        <f>O109</f>
        <v>0</v>
      </c>
    </row>
    <row r="111" spans="1:15" ht="12.75" customHeight="1" thickBot="1" x14ac:dyDescent="0.3">
      <c r="A111" s="275"/>
      <c r="B111" s="302"/>
      <c r="C111" s="7"/>
      <c r="D111" s="7"/>
      <c r="E111" s="279"/>
      <c r="F111" s="116"/>
      <c r="G111" s="116"/>
      <c r="H111" s="116"/>
      <c r="I111" s="116"/>
      <c r="J111" s="116"/>
      <c r="K111" s="116"/>
      <c r="L111" s="116"/>
      <c r="M111" s="116"/>
      <c r="N111" s="116"/>
      <c r="O111" s="116"/>
    </row>
    <row r="112" spans="1:15" ht="12.75" customHeight="1" x14ac:dyDescent="0.25">
      <c r="A112" s="129"/>
      <c r="B112" s="82"/>
      <c r="C112" s="3"/>
      <c r="D112" s="3"/>
      <c r="E112" s="271"/>
      <c r="F112" s="38"/>
      <c r="G112" s="38"/>
      <c r="H112" s="38"/>
      <c r="I112" s="38"/>
      <c r="J112" s="38"/>
      <c r="K112" s="38"/>
      <c r="L112" s="38"/>
      <c r="M112" s="38"/>
      <c r="N112" s="38"/>
    </row>
    <row r="113" spans="1:19" ht="12.75" customHeight="1" x14ac:dyDescent="0.25">
      <c r="A113" s="129"/>
      <c r="B113" s="82"/>
      <c r="C113" s="3"/>
      <c r="D113" s="3"/>
      <c r="E113" s="271"/>
      <c r="F113" s="38"/>
      <c r="G113" s="38"/>
      <c r="H113" s="38"/>
      <c r="I113" s="38"/>
      <c r="J113" s="38"/>
      <c r="K113" s="38"/>
      <c r="L113" s="38"/>
      <c r="M113" s="38"/>
      <c r="N113" s="38"/>
      <c r="O113" s="38"/>
      <c r="P113" s="38"/>
      <c r="Q113" s="38"/>
      <c r="R113" s="38"/>
      <c r="S113" s="38"/>
    </row>
    <row r="114" spans="1:19" ht="12.75" customHeight="1" x14ac:dyDescent="0.25">
      <c r="A114" s="16"/>
      <c r="B114" s="3"/>
      <c r="C114" s="3"/>
      <c r="D114" s="3"/>
      <c r="E114" s="13"/>
      <c r="F114" s="13"/>
      <c r="G114" s="20"/>
      <c r="H114" s="13"/>
      <c r="I114" s="13"/>
      <c r="J114" s="13"/>
      <c r="K114" s="13"/>
    </row>
    <row r="115" spans="1:19" ht="12.75" customHeight="1" x14ac:dyDescent="0.25">
      <c r="A115" s="77" t="s">
        <v>150</v>
      </c>
      <c r="B115" s="3"/>
      <c r="C115" s="3"/>
      <c r="D115" s="3"/>
      <c r="E115" s="13"/>
      <c r="F115" s="13"/>
      <c r="G115" s="13"/>
      <c r="H115" s="13"/>
      <c r="I115" s="13"/>
      <c r="J115" s="13"/>
      <c r="K115" s="13"/>
      <c r="L115" s="13"/>
    </row>
    <row r="116" spans="1:19" ht="12.75" customHeight="1" x14ac:dyDescent="0.25">
      <c r="A116" s="77" t="s">
        <v>174</v>
      </c>
      <c r="B116" s="3"/>
      <c r="C116" s="3"/>
      <c r="D116" s="3"/>
      <c r="E116" s="13"/>
      <c r="F116" s="13"/>
      <c r="G116" s="13"/>
      <c r="H116" s="13"/>
      <c r="I116" s="13"/>
      <c r="J116" s="13"/>
      <c r="K116" s="13"/>
      <c r="L116" s="13"/>
    </row>
    <row r="117" spans="1:19" ht="12.75" customHeight="1" thickBot="1" x14ac:dyDescent="0.3">
      <c r="A117" s="78" t="s">
        <v>428</v>
      </c>
      <c r="B117" s="7"/>
      <c r="C117" s="3"/>
      <c r="D117" s="3"/>
      <c r="E117" s="13"/>
      <c r="F117" s="13"/>
      <c r="G117" s="13"/>
      <c r="H117" s="13"/>
      <c r="I117" s="13"/>
      <c r="J117" s="13"/>
      <c r="K117" s="13"/>
    </row>
    <row r="118" spans="1:19" ht="12.75" customHeight="1" x14ac:dyDescent="0.25">
      <c r="A118" s="242" t="s">
        <v>137</v>
      </c>
      <c r="B118" s="649" t="s">
        <v>224</v>
      </c>
      <c r="C118" s="649"/>
      <c r="D118" s="649"/>
      <c r="E118" s="265" t="str">
        <f>"Series "&amp;Sum!H606</f>
        <v>Series 2025</v>
      </c>
      <c r="F118" s="265" t="str">
        <f>"Series "&amp;Sum!I606</f>
        <v>Series 2026</v>
      </c>
      <c r="G118" s="265" t="str">
        <f>"Series "&amp;Sum!J606</f>
        <v>Series 2027</v>
      </c>
      <c r="H118" s="265" t="str">
        <f>"Series "&amp;Sum!K606</f>
        <v>Series 2028</v>
      </c>
      <c r="I118" s="265" t="str">
        <f>"Series "&amp;Sum!L606</f>
        <v>Series 2029</v>
      </c>
      <c r="J118" s="265" t="str">
        <f>"Series "&amp;Sum!M606</f>
        <v>Series 2030</v>
      </c>
      <c r="K118" s="265" t="str">
        <f>"Series "&amp;Sum!N606</f>
        <v>Series 2031</v>
      </c>
      <c r="L118" s="265" t="str">
        <f>"Series "&amp;Sum!O606</f>
        <v>Series 2032</v>
      </c>
      <c r="M118" s="265" t="str">
        <f>"Series "&amp;Sum!P606</f>
        <v>Series 2033</v>
      </c>
      <c r="N118" s="265" t="str">
        <f>"Series "&amp;Sum!Q606</f>
        <v>Series 2034</v>
      </c>
      <c r="O118" s="13"/>
      <c r="P118" s="13"/>
    </row>
    <row r="119" spans="1:19" ht="12.75" customHeight="1" x14ac:dyDescent="0.25">
      <c r="A119" s="267"/>
      <c r="B119" s="124"/>
      <c r="C119" s="124"/>
      <c r="D119" s="124"/>
      <c r="E119" s="124"/>
      <c r="F119" s="124"/>
      <c r="G119" s="124"/>
      <c r="H119" s="124"/>
      <c r="I119" s="124"/>
      <c r="J119" s="124"/>
      <c r="K119" s="124"/>
      <c r="L119" s="124"/>
      <c r="M119" s="124"/>
      <c r="N119" s="124"/>
      <c r="O119" s="20"/>
      <c r="P119" s="20"/>
    </row>
    <row r="120" spans="1:19" ht="12.75" customHeight="1" x14ac:dyDescent="0.25">
      <c r="A120" s="29" t="s">
        <v>241</v>
      </c>
      <c r="B120" s="3"/>
      <c r="C120" s="124"/>
      <c r="D120" s="124"/>
      <c r="E120" s="124"/>
      <c r="F120" s="124"/>
      <c r="G120" s="124"/>
      <c r="H120" s="124"/>
      <c r="I120" s="124"/>
      <c r="J120" s="124"/>
      <c r="K120" s="124"/>
      <c r="L120" s="124"/>
      <c r="M120" s="124"/>
      <c r="N120" s="124"/>
      <c r="O120" s="20"/>
      <c r="P120" s="20"/>
    </row>
    <row r="121" spans="1:19" ht="12.75" customHeight="1" x14ac:dyDescent="0.25">
      <c r="A121" s="3"/>
      <c r="B121" s="264" t="s">
        <v>274</v>
      </c>
      <c r="C121" s="3"/>
      <c r="D121" s="3"/>
      <c r="E121" s="13">
        <f>SUMIF(Sum!$T$398:$T$547,"="&amp;"Yes-Debt-"&amp;$B121,Sum!H$398:H$547)</f>
        <v>0</v>
      </c>
      <c r="F121" s="13">
        <f>SUMIF(Sum!$T$398:$T$547,"="&amp;"Yes-Debt-"&amp;$B121,Sum!I$398:I$547)</f>
        <v>0</v>
      </c>
      <c r="G121" s="13">
        <f>SUMIF(Sum!$T$398:$T$547,"="&amp;"Yes-Debt-"&amp;$B121,Sum!J$398:J$547)</f>
        <v>0</v>
      </c>
      <c r="H121" s="13">
        <f>SUMIF(Sum!$T$398:$T$547,"="&amp;"Yes-Debt-"&amp;$B121,Sum!K$398:K$547)</f>
        <v>0</v>
      </c>
      <c r="I121" s="13">
        <f>SUMIF(Sum!$T$398:$T$547,"="&amp;"Yes-Debt-"&amp;$B121,Sum!L$398:L$547)</f>
        <v>0</v>
      </c>
      <c r="J121" s="13">
        <f>SUMIF(Sum!$T$398:$T$547,"="&amp;"Yes-Debt-"&amp;$B121,Sum!M$398:M$547)</f>
        <v>0</v>
      </c>
      <c r="K121" s="13">
        <f>SUMIF(Sum!$T$398:$T$547,"="&amp;"Yes-Debt-"&amp;$B121,Sum!N$398:N$547)</f>
        <v>0</v>
      </c>
      <c r="L121" s="13">
        <f>SUMIF(Sum!$T$398:$T$547,"="&amp;"Yes-Debt-"&amp;$B121,Sum!O$398:O$547)</f>
        <v>0</v>
      </c>
      <c r="M121" s="13">
        <f>SUMIF(Sum!$T$398:$T$547,"="&amp;"Yes-Debt-"&amp;$B121,Sum!P$398:P$547)</f>
        <v>0</v>
      </c>
      <c r="N121" s="13">
        <f>SUMIF(Sum!$T$398:$T$547,"="&amp;"Yes-Debt-"&amp;$B121,Sum!Q$398:Q$547)</f>
        <v>0</v>
      </c>
      <c r="O121" s="13"/>
      <c r="P121" s="13"/>
    </row>
    <row r="122" spans="1:19" ht="12.75" customHeight="1" x14ac:dyDescent="0.25">
      <c r="A122" s="3"/>
      <c r="B122" s="264" t="s">
        <v>290</v>
      </c>
      <c r="C122" s="3"/>
      <c r="D122" s="3"/>
      <c r="E122" s="13">
        <f>SUMIF(Sum!$T$398:$T$547,"="&amp;"Yes-Debt-"&amp;$B122,Sum!H$398:H$547)</f>
        <v>0</v>
      </c>
      <c r="F122" s="13">
        <f>SUMIF(Sum!$T$398:$T$547,"="&amp;"Yes-Debt-"&amp;$B122,Sum!I$398:I$547)</f>
        <v>0</v>
      </c>
      <c r="G122" s="13">
        <f>SUMIF(Sum!$T$398:$T$547,"="&amp;"Yes-Debt-"&amp;$B122,Sum!J$398:J$547)</f>
        <v>0</v>
      </c>
      <c r="H122" s="13">
        <f>SUMIF(Sum!$T$398:$T$547,"="&amp;"Yes-Debt-"&amp;$B122,Sum!K$398:K$547)</f>
        <v>0</v>
      </c>
      <c r="I122" s="13">
        <f>SUMIF(Sum!$T$398:$T$547,"="&amp;"Yes-Debt-"&amp;$B122,Sum!L$398:L$547)</f>
        <v>0</v>
      </c>
      <c r="J122" s="13">
        <f>SUMIF(Sum!$T$398:$T$547,"="&amp;"Yes-Debt-"&amp;$B122,Sum!M$398:M$547)</f>
        <v>0</v>
      </c>
      <c r="K122" s="13">
        <f>SUMIF(Sum!$T$398:$T$547,"="&amp;"Yes-Debt-"&amp;$B122,Sum!N$398:N$547)</f>
        <v>0</v>
      </c>
      <c r="L122" s="13">
        <f>SUMIF(Sum!$T$398:$T$547,"="&amp;"Yes-Debt-"&amp;$B122,Sum!O$398:O$547)</f>
        <v>0</v>
      </c>
      <c r="M122" s="13">
        <f>SUMIF(Sum!$T$398:$T$547,"="&amp;"Yes-Debt-"&amp;$B122,Sum!P$398:P$547)</f>
        <v>0</v>
      </c>
      <c r="N122" s="13">
        <f>SUMIF(Sum!$T$398:$T$547,"="&amp;"Yes-Debt-"&amp;$B122,Sum!Q$398:Q$547)</f>
        <v>0</v>
      </c>
      <c r="O122" s="13"/>
      <c r="P122" s="13"/>
    </row>
    <row r="123" spans="1:19" ht="12.75" customHeight="1" x14ac:dyDescent="0.25">
      <c r="A123" s="3"/>
      <c r="B123" s="82" t="s">
        <v>291</v>
      </c>
      <c r="C123" s="3"/>
      <c r="D123" s="3"/>
      <c r="E123" s="13">
        <f>SUMIF(Sum!$T$398:$T$547,"="&amp;"Yes-Debt-"&amp;$B123,Sum!H$398:H$547)</f>
        <v>0</v>
      </c>
      <c r="F123" s="13">
        <f>SUMIF(Sum!$T$398:$T$547,"="&amp;"Yes-Debt-"&amp;$B123,Sum!I$398:I$547)</f>
        <v>0</v>
      </c>
      <c r="G123" s="13">
        <f>SUMIF(Sum!$T$398:$T$547,"="&amp;"Yes-Debt-"&amp;$B123,Sum!J$398:J$547)</f>
        <v>0</v>
      </c>
      <c r="H123" s="13">
        <f>SUMIF(Sum!$T$398:$T$547,"="&amp;"Yes-Debt-"&amp;$B123,Sum!K$398:K$547)</f>
        <v>0</v>
      </c>
      <c r="I123" s="13">
        <f>SUMIF(Sum!$T$398:$T$547,"="&amp;"Yes-Debt-"&amp;$B123,Sum!L$398:L$547)</f>
        <v>0</v>
      </c>
      <c r="J123" s="13">
        <f>SUMIF(Sum!$T$398:$T$547,"="&amp;"Yes-Debt-"&amp;$B123,Sum!M$398:M$547)</f>
        <v>0</v>
      </c>
      <c r="K123" s="13">
        <f>SUMIF(Sum!$T$398:$T$547,"="&amp;"Yes-Debt-"&amp;$B123,Sum!N$398:N$547)</f>
        <v>0</v>
      </c>
      <c r="L123" s="13">
        <f>SUMIF(Sum!$T$398:$T$547,"="&amp;"Yes-Debt-"&amp;$B123,Sum!O$398:O$547)</f>
        <v>0</v>
      </c>
      <c r="M123" s="13">
        <f>SUMIF(Sum!$T$398:$T$547,"="&amp;"Yes-Debt-"&amp;$B123,Sum!P$398:P$547)</f>
        <v>0</v>
      </c>
      <c r="N123" s="13">
        <f>SUMIF(Sum!$T$398:$T$547,"="&amp;"Yes-Debt-"&amp;$B123,Sum!Q$398:Q$547)</f>
        <v>0</v>
      </c>
      <c r="O123" s="13"/>
      <c r="P123" s="13"/>
    </row>
    <row r="124" spans="1:19" ht="12.75" customHeight="1" x14ac:dyDescent="0.25">
      <c r="A124" s="3"/>
      <c r="B124" s="82" t="s">
        <v>2</v>
      </c>
      <c r="C124" s="3"/>
      <c r="D124" s="3"/>
      <c r="E124" s="13">
        <f>SUMIF(Sum!$T$398:$T$547,"="&amp;"Yes-Debt-"&amp;$B124,Sum!H$398:H$547)</f>
        <v>0</v>
      </c>
      <c r="F124" s="13">
        <f>SUMIF(Sum!$T$398:$T$547,"="&amp;"Yes-Debt-"&amp;$B124,Sum!I$398:I$547)</f>
        <v>0</v>
      </c>
      <c r="G124" s="13">
        <f>SUMIF(Sum!$T$398:$T$547,"="&amp;"Yes-Debt-"&amp;$B124,Sum!J$398:J$547)</f>
        <v>0</v>
      </c>
      <c r="H124" s="13">
        <f>SUMIF(Sum!$T$398:$T$547,"="&amp;"Yes-Debt-"&amp;$B124,Sum!K$398:K$547)</f>
        <v>0</v>
      </c>
      <c r="I124" s="13">
        <f>SUMIF(Sum!$T$398:$T$547,"="&amp;"Yes-Debt-"&amp;$B124,Sum!L$398:L$547)</f>
        <v>0</v>
      </c>
      <c r="J124" s="13">
        <f>SUMIF(Sum!$T$398:$T$547,"="&amp;"Yes-Debt-"&amp;$B124,Sum!M$398:M$547)</f>
        <v>0</v>
      </c>
      <c r="K124" s="13">
        <f>SUMIF(Sum!$T$398:$T$547,"="&amp;"Yes-Debt-"&amp;$B124,Sum!N$398:N$547)</f>
        <v>0</v>
      </c>
      <c r="L124" s="13">
        <f>SUMIF(Sum!$T$398:$T$547,"="&amp;"Yes-Debt-"&amp;$B124,Sum!O$398:O$547)</f>
        <v>0</v>
      </c>
      <c r="M124" s="13">
        <f>SUMIF(Sum!$T$398:$T$547,"="&amp;"Yes-Debt-"&amp;$B124,Sum!P$398:P$547)</f>
        <v>0</v>
      </c>
      <c r="N124" s="13">
        <f>SUMIF(Sum!$T$398:$T$547,"="&amp;"Yes-Debt-"&amp;$B124,Sum!Q$398:Q$547)</f>
        <v>0</v>
      </c>
      <c r="O124" s="13"/>
      <c r="P124" s="13"/>
    </row>
    <row r="125" spans="1:19" ht="12.75" customHeight="1" x14ac:dyDescent="0.25">
      <c r="A125" s="3"/>
      <c r="B125" s="83" t="s">
        <v>218</v>
      </c>
      <c r="C125" s="22"/>
      <c r="D125" s="22"/>
      <c r="E125" s="30">
        <f>SUMIF(Sum!$T$398:$T$547,"="&amp;"Yes-Debt-"&amp;$B125,Sum!H$398:H$547)</f>
        <v>0</v>
      </c>
      <c r="F125" s="30">
        <f>SUMIF(Sum!$T$398:$T$547,"="&amp;"Yes-Debt-"&amp;$B125,Sum!I$398:I$547)</f>
        <v>0</v>
      </c>
      <c r="G125" s="30">
        <f>SUMIF(Sum!$T$398:$T$547,"="&amp;"Yes-Debt-"&amp;$B125,Sum!J$398:J$547)</f>
        <v>0</v>
      </c>
      <c r="H125" s="30">
        <f>SUMIF(Sum!$T$398:$T$547,"="&amp;"Yes-Debt-"&amp;$B125,Sum!K$398:K$547)</f>
        <v>0</v>
      </c>
      <c r="I125" s="30">
        <f>SUMIF(Sum!$T$398:$T$547,"="&amp;"Yes-Debt-"&amp;$B125,Sum!L$398:L$547)</f>
        <v>0</v>
      </c>
      <c r="J125" s="30">
        <f>SUMIF(Sum!$T$398:$T$547,"="&amp;"Yes-Debt-"&amp;$B125,Sum!M$398:M$547)</f>
        <v>0</v>
      </c>
      <c r="K125" s="30">
        <f>SUMIF(Sum!$T$398:$T$547,"="&amp;"Yes-Debt-"&amp;$B125,Sum!N$398:N$547)</f>
        <v>0</v>
      </c>
      <c r="L125" s="30">
        <f>SUMIF(Sum!$T$398:$T$547,"="&amp;"Yes-Debt-"&amp;$B125,Sum!O$398:O$547)</f>
        <v>0</v>
      </c>
      <c r="M125" s="30">
        <f>SUMIF(Sum!$T$398:$T$547,"="&amp;"Yes-Debt-"&amp;$B125,Sum!P$398:P$547)</f>
        <v>0</v>
      </c>
      <c r="N125" s="30">
        <f>SUMIF(Sum!$T$398:$T$547,"="&amp;"Yes-Debt-"&amp;$B125,Sum!Q$398:Q$547)</f>
        <v>0</v>
      </c>
      <c r="O125" s="13"/>
      <c r="P125" s="13"/>
    </row>
    <row r="126" spans="1:19" ht="12.75" customHeight="1" x14ac:dyDescent="0.25">
      <c r="A126" s="127"/>
      <c r="B126" s="129" t="s">
        <v>117</v>
      </c>
      <c r="C126" s="3"/>
      <c r="D126" s="3"/>
      <c r="E126" s="13">
        <f>SUM(E121:E125)</f>
        <v>0</v>
      </c>
      <c r="F126" s="13">
        <f>SUM(F121:F125)</f>
        <v>0</v>
      </c>
      <c r="G126" s="13">
        <f>SUM(G121:G125)</f>
        <v>0</v>
      </c>
      <c r="H126" s="13">
        <f t="shared" ref="H126:N126" si="64">SUM(H121:H125)</f>
        <v>0</v>
      </c>
      <c r="I126" s="13">
        <f t="shared" si="64"/>
        <v>0</v>
      </c>
      <c r="J126" s="13">
        <f t="shared" si="64"/>
        <v>0</v>
      </c>
      <c r="K126" s="13">
        <f t="shared" si="64"/>
        <v>0</v>
      </c>
      <c r="L126" s="13">
        <f t="shared" si="64"/>
        <v>0</v>
      </c>
      <c r="M126" s="13">
        <f t="shared" si="64"/>
        <v>0</v>
      </c>
      <c r="N126" s="13">
        <f t="shared" si="64"/>
        <v>0</v>
      </c>
      <c r="O126" s="13"/>
      <c r="P126" s="13"/>
    </row>
    <row r="127" spans="1:19" ht="12.75" customHeight="1" x14ac:dyDescent="0.25">
      <c r="A127" s="127"/>
      <c r="B127" s="13"/>
      <c r="C127" s="3"/>
      <c r="D127" s="3"/>
      <c r="E127" s="13"/>
      <c r="F127" s="13"/>
      <c r="G127" s="13"/>
      <c r="H127" s="13"/>
      <c r="I127" s="13"/>
      <c r="J127" s="13"/>
      <c r="K127" s="13"/>
      <c r="L127" s="13"/>
      <c r="M127" s="13"/>
      <c r="N127" s="13"/>
      <c r="O127" s="13"/>
      <c r="P127" s="13"/>
    </row>
    <row r="128" spans="1:19" ht="12.75" customHeight="1" x14ac:dyDescent="0.25">
      <c r="A128" s="77" t="s">
        <v>242</v>
      </c>
      <c r="B128" s="82"/>
      <c r="C128" s="3"/>
      <c r="D128" s="3"/>
      <c r="E128" s="13"/>
      <c r="F128" s="13"/>
      <c r="G128" s="13"/>
      <c r="H128" s="13"/>
      <c r="I128" s="13"/>
      <c r="J128" s="13"/>
      <c r="K128" s="13"/>
      <c r="L128" s="13"/>
      <c r="M128" s="13"/>
      <c r="N128" s="13"/>
      <c r="O128" s="13"/>
      <c r="P128" s="13"/>
    </row>
    <row r="129" spans="1:16" ht="12.75" customHeight="1" x14ac:dyDescent="0.25">
      <c r="A129" s="82"/>
      <c r="B129" s="129" t="s">
        <v>292</v>
      </c>
      <c r="C129" s="3"/>
      <c r="D129" s="3"/>
      <c r="E129" s="13">
        <f>SUMIF(Sum!$T$549:$T$598,"="&amp;"Yes-Debt-"&amp;$B129,Sum!H$549:H$598)</f>
        <v>0</v>
      </c>
      <c r="F129" s="13">
        <f>SUMIF(Sum!$T$549:$T$598,"="&amp;"Yes-Debt-"&amp;$B129,Sum!I$549:I$598)</f>
        <v>0</v>
      </c>
      <c r="G129" s="13">
        <f>SUMIF(Sum!$T$549:$T$598,"="&amp;"Yes-Debt-"&amp;$B129,Sum!J$549:J$598)</f>
        <v>950000</v>
      </c>
      <c r="H129" s="13">
        <f>SUMIF(Sum!$T$549:$T$598,"="&amp;"Yes-Debt-"&amp;$B129,Sum!K$549:K$598)</f>
        <v>0</v>
      </c>
      <c r="I129" s="13">
        <f>SUMIF(Sum!$T$549:$T$598,"="&amp;"Yes-Debt-"&amp;$B129,Sum!L$549:L$598)</f>
        <v>0</v>
      </c>
      <c r="J129" s="13">
        <f>SUMIF(Sum!$T$549:$T$598,"="&amp;"Yes-Debt-"&amp;$B129,Sum!M$549:M$598)</f>
        <v>0</v>
      </c>
      <c r="K129" s="13">
        <f>SUMIF(Sum!$T$549:$T$598,"="&amp;"Yes-Debt-"&amp;$B129,Sum!N$549:N$598)</f>
        <v>0</v>
      </c>
      <c r="L129" s="13">
        <f>SUMIF(Sum!$T$549:$T$598,"="&amp;"Yes-Debt-"&amp;$B129,Sum!O$549:O$598)</f>
        <v>0</v>
      </c>
      <c r="M129" s="13">
        <f>SUMIF(Sum!$T$549:$T$598,"="&amp;"Yes-Debt-"&amp;$B129,Sum!P$549:P$598)</f>
        <v>0</v>
      </c>
      <c r="N129" s="13">
        <f>SUMIF(Sum!$T$549:$T$598,"="&amp;"Yes-Debt-"&amp;$B129,Sum!Q$549:Q$598)</f>
        <v>0</v>
      </c>
      <c r="O129" s="13"/>
      <c r="P129" s="13"/>
    </row>
    <row r="130" spans="1:16" ht="12.75" customHeight="1" x14ac:dyDescent="0.25">
      <c r="A130" s="82"/>
      <c r="B130" s="129" t="s">
        <v>289</v>
      </c>
      <c r="C130" s="3"/>
      <c r="D130" s="3"/>
      <c r="E130" s="13">
        <f>SUMIF(Sum!$T$549:$T$598,"="&amp;"Yes-Debt-"&amp;$B130,Sum!H$549:H$598)</f>
        <v>0</v>
      </c>
      <c r="F130" s="13">
        <f>SUMIF(Sum!$T$549:$T$598,"="&amp;"Yes-Debt-"&amp;$B130,Sum!I$549:I$598)</f>
        <v>0</v>
      </c>
      <c r="G130" s="13">
        <f>SUMIF(Sum!$T$549:$T$598,"="&amp;"Yes-Debt-"&amp;$B130,Sum!J$549:J$598)</f>
        <v>500000</v>
      </c>
      <c r="H130" s="13">
        <f>SUMIF(Sum!$T$549:$T$598,"="&amp;"Yes-Debt-"&amp;$B130,Sum!K$549:K$598)</f>
        <v>0</v>
      </c>
      <c r="I130" s="13">
        <f>SUMIF(Sum!$T$549:$T$598,"="&amp;"Yes-Debt-"&amp;$B130,Sum!L$549:L$598)</f>
        <v>0</v>
      </c>
      <c r="J130" s="13">
        <f>SUMIF(Sum!$T$549:$T$598,"="&amp;"Yes-Debt-"&amp;$B130,Sum!M$549:M$598)</f>
        <v>0</v>
      </c>
      <c r="K130" s="13">
        <f>SUMIF(Sum!$T$549:$T$598,"="&amp;"Yes-Debt-"&amp;$B130,Sum!N$549:N$598)</f>
        <v>0</v>
      </c>
      <c r="L130" s="13">
        <f>SUMIF(Sum!$T$549:$T$598,"="&amp;"Yes-Debt-"&amp;$B130,Sum!O$549:O$598)</f>
        <v>0</v>
      </c>
      <c r="M130" s="13">
        <f>SUMIF(Sum!$T$549:$T$598,"="&amp;"Yes-Debt-"&amp;$B130,Sum!P$549:P$598)</f>
        <v>0</v>
      </c>
      <c r="N130" s="13">
        <f>SUMIF(Sum!$T$549:$T$598,"="&amp;"Yes-Debt-"&amp;$B130,Sum!Q$549:Q$598)</f>
        <v>0</v>
      </c>
      <c r="O130" s="13"/>
      <c r="P130" s="13"/>
    </row>
    <row r="131" spans="1:16" ht="12.75" customHeight="1" x14ac:dyDescent="0.25">
      <c r="A131" s="82"/>
      <c r="B131" s="266" t="s">
        <v>225</v>
      </c>
      <c r="C131" s="22"/>
      <c r="D131" s="22"/>
      <c r="E131" s="30">
        <f>SUMIF(Sum!$T$549:$T$598,"="&amp;"Yes-Debt-"&amp;$B131,Sum!H$549:H$598)</f>
        <v>0</v>
      </c>
      <c r="F131" s="30">
        <f>SUMIF(Sum!$T$549:$T$598,"="&amp;"Yes-Debt-"&amp;$B131,Sum!I$549:I$598)</f>
        <v>0</v>
      </c>
      <c r="G131" s="30">
        <f>SUMIF(Sum!$T$549:$T$598,"="&amp;"Yes-Debt-"&amp;$B131,Sum!J$549:J$598)</f>
        <v>0</v>
      </c>
      <c r="H131" s="30">
        <f>SUMIF(Sum!$T$549:$T$598,"="&amp;"Yes-Debt-"&amp;$B131,Sum!K$549:K$598)</f>
        <v>0</v>
      </c>
      <c r="I131" s="30">
        <f>SUMIF(Sum!$T$549:$T$598,"="&amp;"Yes-Debt-"&amp;$B131,Sum!L$549:L$598)</f>
        <v>0</v>
      </c>
      <c r="J131" s="30">
        <f>SUMIF(Sum!$T$549:$T$598,"="&amp;"Yes-Debt-"&amp;$B131,Sum!M$549:M$598)</f>
        <v>0</v>
      </c>
      <c r="K131" s="30">
        <f>SUMIF(Sum!$T$549:$T$598,"="&amp;"Yes-Debt-"&amp;$B131,Sum!N$549:N$598)</f>
        <v>0</v>
      </c>
      <c r="L131" s="30">
        <f>SUMIF(Sum!$T$549:$T$598,"="&amp;"Yes-Debt-"&amp;$B131,Sum!O$549:O$598)</f>
        <v>0</v>
      </c>
      <c r="M131" s="30">
        <f>SUMIF(Sum!$T$549:$T$598,"="&amp;"Yes-Debt-"&amp;$B131,Sum!P$549:P$598)</f>
        <v>0</v>
      </c>
      <c r="N131" s="30">
        <f>SUMIF(Sum!$T$549:$T$598,"="&amp;"Yes-Debt-"&amp;$B131,Sum!Q$549:Q$598)</f>
        <v>0</v>
      </c>
      <c r="O131" s="13"/>
      <c r="P131" s="13"/>
    </row>
    <row r="132" spans="1:16" ht="12.75" customHeight="1" x14ac:dyDescent="0.25">
      <c r="A132" s="128"/>
      <c r="B132" s="129" t="s">
        <v>115</v>
      </c>
      <c r="C132" s="3"/>
      <c r="D132" s="3"/>
      <c r="E132" s="20">
        <f>SUM(E129:E131)</f>
        <v>0</v>
      </c>
      <c r="F132" s="20">
        <f>SUM(F129:F131)</f>
        <v>0</v>
      </c>
      <c r="G132" s="20">
        <f>SUM(G129:G131)</f>
        <v>1450000</v>
      </c>
      <c r="H132" s="20">
        <f t="shared" ref="H132:N132" si="65">SUM(H129:H131)</f>
        <v>0</v>
      </c>
      <c r="I132" s="20">
        <f t="shared" si="65"/>
        <v>0</v>
      </c>
      <c r="J132" s="20">
        <f t="shared" si="65"/>
        <v>0</v>
      </c>
      <c r="K132" s="20">
        <f t="shared" si="65"/>
        <v>0</v>
      </c>
      <c r="L132" s="20">
        <f t="shared" si="65"/>
        <v>0</v>
      </c>
      <c r="M132" s="20">
        <f t="shared" si="65"/>
        <v>0</v>
      </c>
      <c r="N132" s="20">
        <f t="shared" si="65"/>
        <v>0</v>
      </c>
      <c r="O132" s="20"/>
      <c r="P132" s="20"/>
    </row>
    <row r="133" spans="1:16" ht="12.75" customHeight="1" thickBot="1" x14ac:dyDescent="0.3">
      <c r="A133" s="270"/>
      <c r="B133" s="33"/>
      <c r="C133" s="32"/>
      <c r="D133" s="32"/>
      <c r="E133" s="33"/>
      <c r="F133" s="33"/>
      <c r="G133" s="33"/>
      <c r="H133" s="33"/>
      <c r="I133" s="33"/>
      <c r="J133" s="33"/>
      <c r="K133" s="33"/>
      <c r="L133" s="33"/>
      <c r="M133" s="33"/>
      <c r="N133" s="33"/>
      <c r="O133" s="13"/>
      <c r="P133" s="13"/>
    </row>
    <row r="134" spans="1:16" ht="12.75" customHeight="1" thickTop="1" x14ac:dyDescent="0.25">
      <c r="A134" s="278" t="s">
        <v>166</v>
      </c>
      <c r="B134" s="13"/>
      <c r="C134" s="3"/>
      <c r="D134" s="3"/>
      <c r="E134" s="149">
        <f>E126+E132</f>
        <v>0</v>
      </c>
      <c r="F134" s="149">
        <f>F126+F132</f>
        <v>0</v>
      </c>
      <c r="G134" s="149">
        <f>G126+G132</f>
        <v>1450000</v>
      </c>
      <c r="H134" s="149">
        <f t="shared" ref="H134:N134" si="66">H126+H132</f>
        <v>0</v>
      </c>
      <c r="I134" s="149">
        <f t="shared" si="66"/>
        <v>0</v>
      </c>
      <c r="J134" s="149">
        <f t="shared" si="66"/>
        <v>0</v>
      </c>
      <c r="K134" s="149">
        <f t="shared" si="66"/>
        <v>0</v>
      </c>
      <c r="L134" s="149">
        <f t="shared" si="66"/>
        <v>0</v>
      </c>
      <c r="M134" s="149">
        <f t="shared" si="66"/>
        <v>0</v>
      </c>
      <c r="N134" s="149">
        <f t="shared" si="66"/>
        <v>0</v>
      </c>
      <c r="O134" s="13"/>
      <c r="P134" s="13"/>
    </row>
    <row r="135" spans="1:16" ht="12.75" customHeight="1" x14ac:dyDescent="0.25">
      <c r="A135" s="149" t="s">
        <v>270</v>
      </c>
      <c r="C135" s="3"/>
      <c r="D135" s="3"/>
      <c r="E135" s="149">
        <f>E134*(1+Sum!H605)</f>
        <v>0</v>
      </c>
      <c r="F135" s="149">
        <f>F134*(1+Sum!I605)</f>
        <v>0</v>
      </c>
      <c r="G135" s="149">
        <f>G134*(1+Sum!J605)</f>
        <v>1500750</v>
      </c>
      <c r="H135" s="149">
        <f>H134*(1+Sum!K605)</f>
        <v>0</v>
      </c>
      <c r="I135" s="149">
        <f>I134*(1+Sum!L605)</f>
        <v>0</v>
      </c>
      <c r="J135" s="149">
        <f>J134*(1+Sum!M605)</f>
        <v>0</v>
      </c>
      <c r="K135" s="149">
        <f>K134*(1+Sum!N605)</f>
        <v>0</v>
      </c>
      <c r="L135" s="149">
        <f>L134*(1+Sum!O605)</f>
        <v>0</v>
      </c>
      <c r="M135" s="149">
        <f>M134*(1+Sum!P605)</f>
        <v>0</v>
      </c>
      <c r="N135" s="149">
        <f>N134*(1+Sum!Q605)</f>
        <v>0</v>
      </c>
      <c r="O135" s="13"/>
      <c r="P135" s="13"/>
    </row>
    <row r="136" spans="1:16" ht="12.75" customHeight="1" x14ac:dyDescent="0.25">
      <c r="A136" s="129"/>
      <c r="B136" s="13"/>
      <c r="C136" s="3"/>
      <c r="D136" s="3"/>
      <c r="E136" s="13"/>
      <c r="F136" s="13"/>
      <c r="G136" s="13"/>
      <c r="H136" s="13"/>
      <c r="I136" s="13"/>
      <c r="J136" s="13"/>
      <c r="K136" s="13"/>
      <c r="L136" s="13"/>
      <c r="M136" s="3"/>
      <c r="N136" s="13"/>
      <c r="O136" s="13"/>
      <c r="P136" s="13"/>
    </row>
    <row r="137" spans="1:16" ht="12.75" customHeight="1" x14ac:dyDescent="0.25">
      <c r="A137" s="278" t="s">
        <v>172</v>
      </c>
      <c r="B137" s="13"/>
      <c r="C137" s="3"/>
      <c r="D137" s="3"/>
      <c r="E137" s="13"/>
      <c r="F137" s="271"/>
      <c r="G137" s="13"/>
      <c r="H137" s="13"/>
      <c r="I137" s="13"/>
      <c r="J137" s="13"/>
      <c r="K137" s="13"/>
      <c r="L137" s="13"/>
      <c r="M137" s="3"/>
      <c r="N137" s="13"/>
      <c r="O137" s="13"/>
      <c r="P137" s="13"/>
    </row>
    <row r="138" spans="1:16" ht="12.75" customHeight="1" x14ac:dyDescent="0.25">
      <c r="A138" s="3"/>
      <c r="B138" s="3" t="s">
        <v>217</v>
      </c>
      <c r="C138" s="124"/>
      <c r="D138" s="124"/>
      <c r="E138" s="124"/>
      <c r="F138" s="38"/>
      <c r="G138" s="38"/>
      <c r="H138" s="38"/>
      <c r="I138" s="38"/>
      <c r="J138" s="38"/>
      <c r="K138" s="38"/>
      <c r="L138" s="38"/>
      <c r="M138" s="38"/>
      <c r="N138" s="38"/>
      <c r="O138" s="13"/>
      <c r="P138" s="13"/>
    </row>
    <row r="139" spans="1:16" ht="12.75" customHeight="1" x14ac:dyDescent="0.25">
      <c r="A139" s="3"/>
      <c r="B139" s="264" t="s">
        <v>46</v>
      </c>
      <c r="C139" s="3"/>
      <c r="D139" s="3"/>
      <c r="E139" s="271">
        <f t="shared" ref="E139:G143" si="67">IF(E$134&gt;0,E121/E$134,0)</f>
        <v>0</v>
      </c>
      <c r="F139" s="38">
        <f t="shared" si="67"/>
        <v>0</v>
      </c>
      <c r="G139" s="38">
        <f t="shared" si="67"/>
        <v>0</v>
      </c>
      <c r="H139" s="38">
        <f t="shared" ref="H139:N139" si="68">IF(H$134&gt;0,H121/H$134,0)</f>
        <v>0</v>
      </c>
      <c r="I139" s="38">
        <f t="shared" si="68"/>
        <v>0</v>
      </c>
      <c r="J139" s="38">
        <f t="shared" si="68"/>
        <v>0</v>
      </c>
      <c r="K139" s="38">
        <f t="shared" si="68"/>
        <v>0</v>
      </c>
      <c r="L139" s="38">
        <f t="shared" si="68"/>
        <v>0</v>
      </c>
      <c r="M139" s="38">
        <f t="shared" si="68"/>
        <v>0</v>
      </c>
      <c r="N139" s="38">
        <f t="shared" si="68"/>
        <v>0</v>
      </c>
      <c r="O139" s="13"/>
      <c r="P139" s="13"/>
    </row>
    <row r="140" spans="1:16" ht="12.75" customHeight="1" x14ac:dyDescent="0.25">
      <c r="A140" s="3"/>
      <c r="B140" s="264" t="s">
        <v>47</v>
      </c>
      <c r="C140" s="3"/>
      <c r="D140" s="3"/>
      <c r="E140" s="271">
        <f t="shared" si="67"/>
        <v>0</v>
      </c>
      <c r="F140" s="38">
        <f t="shared" si="67"/>
        <v>0</v>
      </c>
      <c r="G140" s="38">
        <f t="shared" si="67"/>
        <v>0</v>
      </c>
      <c r="H140" s="38">
        <f t="shared" ref="H140:N140" si="69">IF(H$134&gt;0,H122/H$134,0)</f>
        <v>0</v>
      </c>
      <c r="I140" s="38">
        <f t="shared" si="69"/>
        <v>0</v>
      </c>
      <c r="J140" s="38">
        <f t="shared" si="69"/>
        <v>0</v>
      </c>
      <c r="K140" s="38">
        <f t="shared" si="69"/>
        <v>0</v>
      </c>
      <c r="L140" s="38">
        <f t="shared" si="69"/>
        <v>0</v>
      </c>
      <c r="M140" s="38">
        <f t="shared" si="69"/>
        <v>0</v>
      </c>
      <c r="N140" s="38">
        <f t="shared" si="69"/>
        <v>0</v>
      </c>
      <c r="O140" s="13"/>
      <c r="P140" s="13"/>
    </row>
    <row r="141" spans="1:16" ht="12.75" customHeight="1" x14ac:dyDescent="0.25">
      <c r="A141" s="3"/>
      <c r="B141" s="82" t="s">
        <v>143</v>
      </c>
      <c r="C141" s="3"/>
      <c r="D141" s="3"/>
      <c r="E141" s="271">
        <f t="shared" si="67"/>
        <v>0</v>
      </c>
      <c r="F141" s="38">
        <f t="shared" si="67"/>
        <v>0</v>
      </c>
      <c r="G141" s="38">
        <f t="shared" si="67"/>
        <v>0</v>
      </c>
      <c r="H141" s="38">
        <f t="shared" ref="H141:N141" si="70">IF(H$134&gt;0,H123/H$134,0)</f>
        <v>0</v>
      </c>
      <c r="I141" s="38">
        <f t="shared" si="70"/>
        <v>0</v>
      </c>
      <c r="J141" s="38">
        <f t="shared" si="70"/>
        <v>0</v>
      </c>
      <c r="K141" s="38">
        <f t="shared" si="70"/>
        <v>0</v>
      </c>
      <c r="L141" s="38">
        <f t="shared" si="70"/>
        <v>0</v>
      </c>
      <c r="M141" s="38">
        <f t="shared" si="70"/>
        <v>0</v>
      </c>
      <c r="N141" s="38">
        <f t="shared" si="70"/>
        <v>0</v>
      </c>
      <c r="O141" s="13"/>
      <c r="P141" s="13"/>
    </row>
    <row r="142" spans="1:16" ht="12.75" customHeight="1" x14ac:dyDescent="0.25">
      <c r="A142" s="3"/>
      <c r="B142" s="82" t="s">
        <v>73</v>
      </c>
      <c r="C142" s="3"/>
      <c r="D142" s="3"/>
      <c r="E142" s="271">
        <f t="shared" si="67"/>
        <v>0</v>
      </c>
      <c r="F142" s="38">
        <f t="shared" si="67"/>
        <v>0</v>
      </c>
      <c r="G142" s="38">
        <f t="shared" si="67"/>
        <v>0</v>
      </c>
      <c r="H142" s="38">
        <f t="shared" ref="H142:N142" si="71">IF(H$134&gt;0,H124/H$134,0)</f>
        <v>0</v>
      </c>
      <c r="I142" s="38">
        <f t="shared" si="71"/>
        <v>0</v>
      </c>
      <c r="J142" s="38">
        <f t="shared" si="71"/>
        <v>0</v>
      </c>
      <c r="K142" s="38">
        <f t="shared" si="71"/>
        <v>0</v>
      </c>
      <c r="L142" s="38">
        <f t="shared" si="71"/>
        <v>0</v>
      </c>
      <c r="M142" s="38">
        <f t="shared" si="71"/>
        <v>0</v>
      </c>
      <c r="N142" s="38">
        <f t="shared" si="71"/>
        <v>0</v>
      </c>
      <c r="O142" s="13"/>
      <c r="P142" s="13"/>
    </row>
    <row r="143" spans="1:16" ht="12.75" customHeight="1" x14ac:dyDescent="0.25">
      <c r="A143" s="3"/>
      <c r="B143" s="83" t="s">
        <v>144</v>
      </c>
      <c r="C143" s="22"/>
      <c r="D143" s="22"/>
      <c r="E143" s="273">
        <f t="shared" si="67"/>
        <v>0</v>
      </c>
      <c r="F143" s="39">
        <f t="shared" si="67"/>
        <v>0</v>
      </c>
      <c r="G143" s="39">
        <f t="shared" si="67"/>
        <v>0</v>
      </c>
      <c r="H143" s="39">
        <f t="shared" ref="H143:N143" si="72">IF(H$134&gt;0,H125/H$134,0)</f>
        <v>0</v>
      </c>
      <c r="I143" s="39">
        <f t="shared" si="72"/>
        <v>0</v>
      </c>
      <c r="J143" s="39">
        <f t="shared" si="72"/>
        <v>0</v>
      </c>
      <c r="K143" s="39">
        <f t="shared" si="72"/>
        <v>0</v>
      </c>
      <c r="L143" s="39">
        <f t="shared" si="72"/>
        <v>0</v>
      </c>
      <c r="M143" s="39">
        <f t="shared" si="72"/>
        <v>0</v>
      </c>
      <c r="N143" s="39">
        <f t="shared" si="72"/>
        <v>0</v>
      </c>
      <c r="O143" s="13"/>
      <c r="P143" s="13"/>
    </row>
    <row r="144" spans="1:16" ht="12.75" customHeight="1" x14ac:dyDescent="0.25">
      <c r="A144" s="127"/>
      <c r="B144" s="129" t="s">
        <v>117</v>
      </c>
      <c r="C144" s="3"/>
      <c r="D144" s="3"/>
      <c r="E144" s="271">
        <f>SUM(E139:E143)</f>
        <v>0</v>
      </c>
      <c r="F144" s="38">
        <f>SUM(F139:F143)</f>
        <v>0</v>
      </c>
      <c r="G144" s="38">
        <f>SUM(G139:G143)</f>
        <v>0</v>
      </c>
      <c r="H144" s="38">
        <f t="shared" ref="H144:N144" si="73">SUM(H139:H143)</f>
        <v>0</v>
      </c>
      <c r="I144" s="38">
        <f t="shared" si="73"/>
        <v>0</v>
      </c>
      <c r="J144" s="38">
        <f t="shared" si="73"/>
        <v>0</v>
      </c>
      <c r="K144" s="38">
        <f t="shared" si="73"/>
        <v>0</v>
      </c>
      <c r="L144" s="38">
        <f t="shared" si="73"/>
        <v>0</v>
      </c>
      <c r="M144" s="38">
        <f t="shared" si="73"/>
        <v>0</v>
      </c>
      <c r="N144" s="38">
        <f t="shared" si="73"/>
        <v>0</v>
      </c>
      <c r="O144" s="13"/>
      <c r="P144" s="13"/>
    </row>
    <row r="145" spans="1:16" ht="12.75" customHeight="1" x14ac:dyDescent="0.25">
      <c r="A145" s="127"/>
      <c r="B145" s="13"/>
      <c r="C145" s="3"/>
      <c r="D145" s="3"/>
      <c r="E145" s="271"/>
      <c r="F145" s="38"/>
      <c r="G145" s="38"/>
      <c r="H145" s="38"/>
      <c r="I145" s="38"/>
      <c r="J145" s="38"/>
      <c r="K145" s="38"/>
      <c r="L145" s="38"/>
      <c r="M145" s="38"/>
      <c r="N145" s="38"/>
      <c r="O145" s="13"/>
      <c r="P145" s="13"/>
    </row>
    <row r="146" spans="1:16" ht="12.75" customHeight="1" x14ac:dyDescent="0.25">
      <c r="A146" s="82"/>
      <c r="B146" s="82" t="s">
        <v>48</v>
      </c>
      <c r="C146" s="3"/>
      <c r="D146" s="3"/>
      <c r="E146" s="271"/>
      <c r="F146" s="38"/>
      <c r="G146" s="38"/>
      <c r="H146" s="38"/>
      <c r="I146" s="38"/>
      <c r="J146" s="38"/>
      <c r="K146" s="38"/>
      <c r="L146" s="38"/>
      <c r="M146" s="38"/>
      <c r="N146" s="38"/>
      <c r="O146" s="13"/>
      <c r="P146" s="13"/>
    </row>
    <row r="147" spans="1:16" ht="12.75" customHeight="1" x14ac:dyDescent="0.25">
      <c r="A147" s="82"/>
      <c r="B147" s="129" t="s">
        <v>145</v>
      </c>
      <c r="C147" s="3"/>
      <c r="D147" s="3"/>
      <c r="E147" s="271">
        <f t="shared" ref="E147:G149" si="74">IF(E$134&gt;0,E129/E$134,0)</f>
        <v>0</v>
      </c>
      <c r="F147" s="38">
        <f t="shared" si="74"/>
        <v>0</v>
      </c>
      <c r="G147" s="38">
        <f t="shared" si="74"/>
        <v>0.65517241379310343</v>
      </c>
      <c r="H147" s="38">
        <f t="shared" ref="H147:N147" si="75">IF(H$134&gt;0,H129/H$134,0)</f>
        <v>0</v>
      </c>
      <c r="I147" s="38">
        <f t="shared" si="75"/>
        <v>0</v>
      </c>
      <c r="J147" s="38">
        <f t="shared" si="75"/>
        <v>0</v>
      </c>
      <c r="K147" s="38">
        <f t="shared" si="75"/>
        <v>0</v>
      </c>
      <c r="L147" s="38">
        <f t="shared" si="75"/>
        <v>0</v>
      </c>
      <c r="M147" s="38">
        <f t="shared" si="75"/>
        <v>0</v>
      </c>
      <c r="N147" s="38">
        <f t="shared" si="75"/>
        <v>0</v>
      </c>
      <c r="O147" s="13"/>
      <c r="P147" s="13"/>
    </row>
    <row r="148" spans="1:16" ht="12.75" customHeight="1" x14ac:dyDescent="0.25">
      <c r="A148" s="82"/>
      <c r="B148" s="129" t="s">
        <v>146</v>
      </c>
      <c r="C148" s="3"/>
      <c r="D148" s="3"/>
      <c r="E148" s="271">
        <f t="shared" si="74"/>
        <v>0</v>
      </c>
      <c r="F148" s="38">
        <f t="shared" si="74"/>
        <v>0</v>
      </c>
      <c r="G148" s="38">
        <f t="shared" si="74"/>
        <v>0.34482758620689657</v>
      </c>
      <c r="H148" s="38">
        <f t="shared" ref="H148:N148" si="76">IF(H$134&gt;0,H130/H$134,0)</f>
        <v>0</v>
      </c>
      <c r="I148" s="38">
        <f t="shared" si="76"/>
        <v>0</v>
      </c>
      <c r="J148" s="38">
        <f t="shared" si="76"/>
        <v>0</v>
      </c>
      <c r="K148" s="38">
        <f t="shared" si="76"/>
        <v>0</v>
      </c>
      <c r="L148" s="38">
        <f t="shared" si="76"/>
        <v>0</v>
      </c>
      <c r="M148" s="38">
        <f t="shared" si="76"/>
        <v>0</v>
      </c>
      <c r="N148" s="38">
        <f t="shared" si="76"/>
        <v>0</v>
      </c>
      <c r="O148" s="13"/>
      <c r="P148" s="13"/>
    </row>
    <row r="149" spans="1:16" ht="12.75" customHeight="1" x14ac:dyDescent="0.25">
      <c r="A149" s="82"/>
      <c r="B149" s="266" t="s">
        <v>147</v>
      </c>
      <c r="C149" s="22"/>
      <c r="D149" s="22"/>
      <c r="E149" s="273">
        <f t="shared" si="74"/>
        <v>0</v>
      </c>
      <c r="F149" s="39">
        <f t="shared" si="74"/>
        <v>0</v>
      </c>
      <c r="G149" s="39">
        <f t="shared" si="74"/>
        <v>0</v>
      </c>
      <c r="H149" s="39">
        <f t="shared" ref="H149:N149" si="77">IF(H$134&gt;0,H131/H$134,0)</f>
        <v>0</v>
      </c>
      <c r="I149" s="39">
        <f t="shared" si="77"/>
        <v>0</v>
      </c>
      <c r="J149" s="39">
        <f t="shared" si="77"/>
        <v>0</v>
      </c>
      <c r="K149" s="39">
        <f t="shared" si="77"/>
        <v>0</v>
      </c>
      <c r="L149" s="39">
        <f t="shared" si="77"/>
        <v>0</v>
      </c>
      <c r="M149" s="39">
        <f t="shared" si="77"/>
        <v>0</v>
      </c>
      <c r="N149" s="39">
        <f t="shared" si="77"/>
        <v>0</v>
      </c>
      <c r="O149" s="13"/>
      <c r="P149" s="13"/>
    </row>
    <row r="150" spans="1:16" ht="12.75" customHeight="1" x14ac:dyDescent="0.25">
      <c r="A150" s="128"/>
      <c r="B150" s="129" t="s">
        <v>115</v>
      </c>
      <c r="C150" s="3"/>
      <c r="D150" s="3"/>
      <c r="E150" s="272">
        <f>SUM(E147:E149)</f>
        <v>0</v>
      </c>
      <c r="F150" s="38">
        <f>SUM(F147:F149)</f>
        <v>0</v>
      </c>
      <c r="G150" s="38">
        <f>SUM(G147:G149)</f>
        <v>1</v>
      </c>
      <c r="H150" s="38">
        <f t="shared" ref="H150:N150" si="78">SUM(H147:H149)</f>
        <v>0</v>
      </c>
      <c r="I150" s="38">
        <f t="shared" si="78"/>
        <v>0</v>
      </c>
      <c r="J150" s="38">
        <f t="shared" si="78"/>
        <v>0</v>
      </c>
      <c r="K150" s="38">
        <f t="shared" si="78"/>
        <v>0</v>
      </c>
      <c r="L150" s="38">
        <f t="shared" si="78"/>
        <v>0</v>
      </c>
      <c r="M150" s="38">
        <f t="shared" si="78"/>
        <v>0</v>
      </c>
      <c r="N150" s="38">
        <f t="shared" si="78"/>
        <v>0</v>
      </c>
      <c r="O150" s="13"/>
      <c r="P150" s="13"/>
    </row>
    <row r="151" spans="1:16" ht="12.75" customHeight="1" thickBot="1" x14ac:dyDescent="0.3">
      <c r="A151" s="270"/>
      <c r="B151" s="33"/>
      <c r="C151" s="32"/>
      <c r="D151" s="32"/>
      <c r="E151" s="274"/>
      <c r="F151" s="276"/>
      <c r="G151" s="276"/>
      <c r="H151" s="276"/>
      <c r="I151" s="276"/>
      <c r="J151" s="276"/>
      <c r="K151" s="276"/>
      <c r="L151" s="276"/>
      <c r="M151" s="276"/>
      <c r="N151" s="276"/>
      <c r="O151" s="13"/>
      <c r="P151" s="13"/>
    </row>
    <row r="152" spans="1:16" ht="12.75" customHeight="1" thickTop="1" x14ac:dyDescent="0.25">
      <c r="A152" s="129" t="s">
        <v>166</v>
      </c>
      <c r="B152" s="13"/>
      <c r="C152" s="3"/>
      <c r="D152" s="3"/>
      <c r="E152" s="271">
        <f>E144+E150</f>
        <v>0</v>
      </c>
      <c r="F152" s="277">
        <f>F144+F150</f>
        <v>0</v>
      </c>
      <c r="G152" s="277">
        <f>G144+G150</f>
        <v>1</v>
      </c>
      <c r="H152" s="277">
        <f t="shared" ref="H152:N152" si="79">H144+H150</f>
        <v>0</v>
      </c>
      <c r="I152" s="277">
        <f t="shared" si="79"/>
        <v>0</v>
      </c>
      <c r="J152" s="277">
        <f t="shared" si="79"/>
        <v>0</v>
      </c>
      <c r="K152" s="277">
        <f t="shared" si="79"/>
        <v>0</v>
      </c>
      <c r="L152" s="277">
        <f t="shared" si="79"/>
        <v>0</v>
      </c>
      <c r="M152" s="277">
        <f t="shared" si="79"/>
        <v>0</v>
      </c>
      <c r="N152" s="277">
        <f t="shared" si="79"/>
        <v>0</v>
      </c>
      <c r="O152" s="13"/>
      <c r="P152" s="13"/>
    </row>
    <row r="153" spans="1:16" ht="12.75" customHeight="1" thickBot="1" x14ac:dyDescent="0.3">
      <c r="A153" s="275"/>
      <c r="B153" s="15"/>
      <c r="C153" s="7"/>
      <c r="D153" s="7"/>
      <c r="E153" s="15"/>
      <c r="F153" s="116"/>
      <c r="G153" s="116"/>
      <c r="H153" s="116"/>
      <c r="I153" s="116"/>
      <c r="J153" s="116"/>
      <c r="K153" s="116"/>
      <c r="L153" s="116"/>
      <c r="M153" s="116"/>
      <c r="N153" s="116"/>
      <c r="O153" s="13"/>
      <c r="P153" s="13"/>
    </row>
    <row r="154" spans="1:16" ht="12.75" customHeight="1" x14ac:dyDescent="0.25">
      <c r="A154" s="130"/>
      <c r="B154" s="82"/>
      <c r="C154" s="74"/>
      <c r="D154" s="74"/>
      <c r="E154" s="13"/>
      <c r="F154" s="271"/>
      <c r="G154" s="13"/>
      <c r="H154" s="3"/>
      <c r="I154" s="13"/>
      <c r="J154" s="13"/>
      <c r="K154" s="13"/>
    </row>
    <row r="155" spans="1:16" ht="12.75" customHeight="1" x14ac:dyDescent="0.25">
      <c r="A155" s="3"/>
      <c r="B155" s="129"/>
      <c r="C155" s="3"/>
      <c r="D155" s="3"/>
      <c r="E155" s="13"/>
      <c r="F155" s="13"/>
      <c r="G155" s="13"/>
      <c r="H155" s="13"/>
      <c r="I155" s="13"/>
      <c r="J155" s="13"/>
      <c r="K155" s="13"/>
    </row>
    <row r="156" spans="1:16" ht="12.75" customHeight="1" x14ac:dyDescent="0.25">
      <c r="A156" s="16"/>
      <c r="B156" s="16"/>
      <c r="C156" s="16"/>
      <c r="D156" s="16"/>
      <c r="E156" s="120"/>
      <c r="F156" s="120"/>
      <c r="G156" s="120"/>
      <c r="H156" s="120"/>
      <c r="I156" s="120"/>
      <c r="J156" s="120"/>
      <c r="K156" s="120"/>
    </row>
    <row r="158" spans="1:16" ht="12.75" customHeight="1" x14ac:dyDescent="0.25">
      <c r="A158" s="77" t="s">
        <v>154</v>
      </c>
      <c r="B158" s="3"/>
      <c r="C158" s="3"/>
      <c r="D158" s="3"/>
      <c r="E158" s="13"/>
      <c r="F158" s="13"/>
      <c r="G158" s="13"/>
      <c r="H158" s="13"/>
      <c r="I158" s="13"/>
      <c r="J158" s="13"/>
      <c r="K158" s="13"/>
    </row>
    <row r="159" spans="1:16" ht="12.75" customHeight="1" x14ac:dyDescent="0.25">
      <c r="A159" s="77" t="s">
        <v>97</v>
      </c>
      <c r="B159" s="3"/>
      <c r="C159" s="3"/>
      <c r="D159" s="3"/>
      <c r="E159" s="13"/>
      <c r="F159" s="13"/>
      <c r="G159" s="13"/>
      <c r="H159" s="13"/>
      <c r="I159" s="13"/>
      <c r="J159" s="13"/>
      <c r="K159" s="13"/>
    </row>
    <row r="160" spans="1:16" ht="12.75" customHeight="1" thickBot="1" x14ac:dyDescent="0.3">
      <c r="A160" s="78" t="s">
        <v>428</v>
      </c>
      <c r="B160" s="7"/>
      <c r="C160" s="7"/>
      <c r="D160" s="7"/>
      <c r="E160" s="15"/>
      <c r="F160" s="15"/>
      <c r="G160" s="15"/>
      <c r="H160" s="15"/>
      <c r="I160" s="13"/>
      <c r="J160" s="13"/>
      <c r="K160" s="13"/>
    </row>
    <row r="161" spans="1:16" ht="12.75" customHeight="1" thickBot="1" x14ac:dyDescent="0.3">
      <c r="A161" s="648" t="s">
        <v>215</v>
      </c>
      <c r="B161" s="648"/>
      <c r="C161" s="648"/>
      <c r="D161" s="298"/>
      <c r="E161" s="299">
        <f>Sum!E$5</f>
        <v>2023</v>
      </c>
      <c r="F161" s="328">
        <f>Sum!F$5</f>
        <v>2024</v>
      </c>
      <c r="G161" s="300">
        <f>Sum!G$5</f>
        <v>2025</v>
      </c>
      <c r="H161" s="299">
        <f>Sum!H$5</f>
        <v>2026</v>
      </c>
      <c r="I161" s="635">
        <f>Sum!I$5</f>
        <v>2027</v>
      </c>
      <c r="J161" s="635">
        <f>Sum!J$5</f>
        <v>2028</v>
      </c>
      <c r="K161" s="635">
        <f>Sum!K$5</f>
        <v>2029</v>
      </c>
      <c r="L161" s="635">
        <f>Sum!L$5</f>
        <v>2030</v>
      </c>
      <c r="M161" s="635">
        <f>Sum!M$5</f>
        <v>2031</v>
      </c>
      <c r="N161" s="635">
        <f>Sum!N$5</f>
        <v>2032</v>
      </c>
      <c r="O161" s="635">
        <f>Sum!O$5</f>
        <v>2033</v>
      </c>
      <c r="P161" s="635">
        <f>Sum!P$5</f>
        <v>2034</v>
      </c>
    </row>
    <row r="162" spans="1:16" ht="12.75" customHeight="1" x14ac:dyDescent="0.25">
      <c r="A162" s="16"/>
      <c r="B162" s="16"/>
      <c r="C162" s="16"/>
      <c r="D162" s="16"/>
      <c r="E162" s="120"/>
      <c r="F162" s="334"/>
      <c r="G162" s="178"/>
      <c r="H162" s="120"/>
      <c r="I162" s="120"/>
      <c r="J162" s="120"/>
      <c r="K162" s="120"/>
      <c r="L162" s="120"/>
      <c r="M162" s="120"/>
      <c r="N162" s="120"/>
      <c r="O162" s="120"/>
      <c r="P162" s="120"/>
    </row>
    <row r="163" spans="1:16" ht="12.75" customHeight="1" x14ac:dyDescent="0.25">
      <c r="A163" s="278" t="s">
        <v>99</v>
      </c>
      <c r="B163" s="124"/>
      <c r="C163" s="124"/>
      <c r="D163" s="124"/>
      <c r="E163" s="124"/>
      <c r="F163" s="332"/>
      <c r="G163" s="268"/>
      <c r="H163" s="124"/>
      <c r="I163" s="124"/>
      <c r="J163" s="124"/>
      <c r="K163" s="124"/>
      <c r="L163" s="124"/>
      <c r="M163" s="124"/>
      <c r="N163" s="124"/>
      <c r="O163" s="124"/>
      <c r="P163" s="124"/>
    </row>
    <row r="164" spans="1:16" ht="12.75" customHeight="1" x14ac:dyDescent="0.25">
      <c r="A164" s="3"/>
      <c r="B164" s="3" t="s">
        <v>217</v>
      </c>
      <c r="C164" s="124"/>
      <c r="D164" s="124"/>
      <c r="E164" s="124"/>
      <c r="F164" s="332"/>
      <c r="G164" s="268"/>
      <c r="H164" s="124"/>
      <c r="I164" s="124"/>
      <c r="J164" s="124"/>
      <c r="K164" s="124"/>
      <c r="L164" s="124"/>
      <c r="M164" s="124"/>
      <c r="N164" s="124"/>
      <c r="O164" s="20"/>
      <c r="P164" s="20"/>
    </row>
    <row r="165" spans="1:16" ht="12.75" customHeight="1" x14ac:dyDescent="0.25">
      <c r="A165" s="3"/>
      <c r="B165" s="264" t="s">
        <v>46</v>
      </c>
      <c r="C165" s="3"/>
      <c r="D165" s="3"/>
      <c r="E165" s="20">
        <f>(E$8*$E95)+(E$9*$F95)+(E$10*$G95)+(E$11*$H95)+(E$12*$I95)+(E$13*$J95)+(E$14*$K95)+(E$15*$L95)+(E$16*$M95)+(E$17*$N95)+(E$18*$O95)</f>
        <v>0</v>
      </c>
      <c r="F165" s="329">
        <f t="shared" ref="F165:P165" si="80">(F$8*$E95)+(F$9*$F95)+(F$10*$G95)+(F$11*$H95)+(F$12*$I95)+(F$13*$J95)+(F$14*$K95)+(F$15*$L95)+(F$16*$M95)+(F$17*$N95)+(F$18*$O95)</f>
        <v>0</v>
      </c>
      <c r="G165" s="160">
        <f t="shared" si="80"/>
        <v>0</v>
      </c>
      <c r="H165" s="13">
        <f t="shared" si="80"/>
        <v>0</v>
      </c>
      <c r="I165" s="13">
        <f t="shared" si="80"/>
        <v>0</v>
      </c>
      <c r="J165" s="13">
        <f t="shared" si="80"/>
        <v>0</v>
      </c>
      <c r="K165" s="13">
        <f t="shared" si="80"/>
        <v>0</v>
      </c>
      <c r="L165" s="13">
        <f t="shared" si="80"/>
        <v>0</v>
      </c>
      <c r="M165" s="13">
        <f t="shared" si="80"/>
        <v>0</v>
      </c>
      <c r="N165" s="13">
        <f t="shared" si="80"/>
        <v>0</v>
      </c>
      <c r="O165" s="13">
        <f t="shared" si="80"/>
        <v>0</v>
      </c>
      <c r="P165" s="13">
        <f t="shared" si="80"/>
        <v>0</v>
      </c>
    </row>
    <row r="166" spans="1:16" ht="12.75" customHeight="1" x14ac:dyDescent="0.25">
      <c r="A166" s="3"/>
      <c r="B166" s="264" t="s">
        <v>47</v>
      </c>
      <c r="C166" s="3"/>
      <c r="D166" s="3"/>
      <c r="E166" s="20">
        <f t="shared" ref="E166:P166" si="81">(E$8*$E96)+(E$9*$F96)+(E$10*$G96)+(E$11*$H96)+(E$12*$I96)+(E$13*$J96)+(E$14*$K96)+(E$15*$L96)+(E$16*$M96)+(E$17*$N96)+(E$18*$O96)</f>
        <v>0</v>
      </c>
      <c r="F166" s="329">
        <f t="shared" si="81"/>
        <v>0</v>
      </c>
      <c r="G166" s="160">
        <f t="shared" si="81"/>
        <v>0</v>
      </c>
      <c r="H166" s="13">
        <f t="shared" si="81"/>
        <v>0</v>
      </c>
      <c r="I166" s="13">
        <f t="shared" si="81"/>
        <v>0</v>
      </c>
      <c r="J166" s="13">
        <f>(J$8*$E96)+(J$9*$F96)+(J$10*$G96)+(J$11*$H96)+(J$12*$I96)+(J$13*$J96)+(J$14*$K96)+(J$15*$L96)+(J$16*$M96)+(J$17*$N96)+(J$18*$O96)</f>
        <v>0</v>
      </c>
      <c r="K166" s="13">
        <f t="shared" si="81"/>
        <v>0</v>
      </c>
      <c r="L166" s="13">
        <f t="shared" si="81"/>
        <v>0</v>
      </c>
      <c r="M166" s="13">
        <f t="shared" si="81"/>
        <v>0</v>
      </c>
      <c r="N166" s="13">
        <f t="shared" si="81"/>
        <v>0</v>
      </c>
      <c r="O166" s="13">
        <f t="shared" si="81"/>
        <v>0</v>
      </c>
      <c r="P166" s="13">
        <f t="shared" si="81"/>
        <v>0</v>
      </c>
    </row>
    <row r="167" spans="1:16" ht="12.75" customHeight="1" x14ac:dyDescent="0.25">
      <c r="A167" s="3"/>
      <c r="B167" s="82" t="s">
        <v>143</v>
      </c>
      <c r="C167" s="3"/>
      <c r="D167" s="3"/>
      <c r="E167" s="13">
        <f t="shared" ref="E167:O167" si="82">(E$8*$E97)+(E$9*$F97)+(E$10*$G97)+(E$11*$H97)+(E$12*$I97)+(E$13*$J97)+(E$14*$K97)+(E$15*$L97)+(E$16*$M97)+(E$17*$N97)+(E$18*$O97)</f>
        <v>0</v>
      </c>
      <c r="F167" s="326">
        <f t="shared" si="82"/>
        <v>0</v>
      </c>
      <c r="G167" s="153">
        <f t="shared" si="82"/>
        <v>0</v>
      </c>
      <c r="H167" s="13">
        <f t="shared" si="82"/>
        <v>0</v>
      </c>
      <c r="I167" s="13">
        <f t="shared" si="82"/>
        <v>0</v>
      </c>
      <c r="J167" s="13">
        <f t="shared" si="82"/>
        <v>0</v>
      </c>
      <c r="K167" s="13">
        <f t="shared" si="82"/>
        <v>0</v>
      </c>
      <c r="L167" s="13">
        <f t="shared" si="82"/>
        <v>0</v>
      </c>
      <c r="M167" s="13">
        <f t="shared" si="82"/>
        <v>0</v>
      </c>
      <c r="N167" s="13">
        <f t="shared" si="82"/>
        <v>0</v>
      </c>
      <c r="O167" s="13">
        <f t="shared" si="82"/>
        <v>0</v>
      </c>
      <c r="P167" s="13">
        <f>(P$8*$E97)+(P$9*$F97)+(P$10*$G97)+(P$11*$H97)+(P$12*$I97)+(P$13*$J97)+(P$14*$K97)+(P$15*$L97)+(P$16*$M97)+(P$17*$N97)+(P$18*$O97)</f>
        <v>0</v>
      </c>
    </row>
    <row r="168" spans="1:16" ht="12.75" customHeight="1" x14ac:dyDescent="0.25">
      <c r="A168" s="3"/>
      <c r="B168" s="82" t="s">
        <v>148</v>
      </c>
      <c r="C168" s="3"/>
      <c r="D168" s="3"/>
      <c r="E168" s="13">
        <f t="shared" ref="E168:P168" si="83">(E$8*$E98)+(E$9*$F98)+(E$10*$G98)+(E$11*$H98)+(E$12*$I98)+(E$13*$J98)+(E$14*$K98)+(E$15*$L98)+(E$16*$M98)+(E$17*$N98)+(E$18*$O98)</f>
        <v>57679.98</v>
      </c>
      <c r="F168" s="326">
        <f t="shared" si="83"/>
        <v>61620</v>
      </c>
      <c r="G168" s="153">
        <f t="shared" si="83"/>
        <v>61621.25</v>
      </c>
      <c r="H168" s="13">
        <f t="shared" si="83"/>
        <v>61617.75</v>
      </c>
      <c r="I168" s="13">
        <f t="shared" si="83"/>
        <v>61609.5</v>
      </c>
      <c r="J168" s="13">
        <f t="shared" si="83"/>
        <v>61596.5</v>
      </c>
      <c r="K168" s="13">
        <f t="shared" si="83"/>
        <v>61578.75</v>
      </c>
      <c r="L168" s="13">
        <f t="shared" si="83"/>
        <v>61556.25</v>
      </c>
      <c r="M168" s="13">
        <f t="shared" si="83"/>
        <v>61529</v>
      </c>
      <c r="N168" s="13">
        <f t="shared" si="83"/>
        <v>61497</v>
      </c>
      <c r="O168" s="13">
        <f t="shared" si="83"/>
        <v>61460.25</v>
      </c>
      <c r="P168" s="13">
        <f t="shared" si="83"/>
        <v>61418.75</v>
      </c>
    </row>
    <row r="169" spans="1:16" ht="12.75" customHeight="1" x14ac:dyDescent="0.25">
      <c r="A169" s="3"/>
      <c r="B169" s="83" t="s">
        <v>144</v>
      </c>
      <c r="C169" s="22"/>
      <c r="D169" s="22"/>
      <c r="E169" s="30">
        <f t="shared" ref="E169:P169" si="84">(E$8*$E99)+(E$9*$F99)+(E$10*$G99)+(E$11*$H99)+(E$12*$I99)+(E$13*$J99)+(E$14*$K99)+(E$15*$L99)+(E$16*$M99)+(E$17*$N99)+(E$18*$O99)</f>
        <v>0</v>
      </c>
      <c r="F169" s="335">
        <f t="shared" si="84"/>
        <v>0</v>
      </c>
      <c r="G169" s="154">
        <f t="shared" si="84"/>
        <v>0</v>
      </c>
      <c r="H169" s="30">
        <f t="shared" si="84"/>
        <v>0</v>
      </c>
      <c r="I169" s="30">
        <f t="shared" si="84"/>
        <v>0</v>
      </c>
      <c r="J169" s="30">
        <f t="shared" si="84"/>
        <v>0</v>
      </c>
      <c r="K169" s="30">
        <f t="shared" si="84"/>
        <v>0</v>
      </c>
      <c r="L169" s="30">
        <f t="shared" si="84"/>
        <v>0</v>
      </c>
      <c r="M169" s="30">
        <f t="shared" si="84"/>
        <v>0</v>
      </c>
      <c r="N169" s="30">
        <f t="shared" si="84"/>
        <v>0</v>
      </c>
      <c r="O169" s="30">
        <f t="shared" si="84"/>
        <v>0</v>
      </c>
      <c r="P169" s="30">
        <f t="shared" si="84"/>
        <v>0</v>
      </c>
    </row>
    <row r="170" spans="1:16" ht="12.75" customHeight="1" x14ac:dyDescent="0.25">
      <c r="A170" s="127"/>
      <c r="B170" s="129" t="s">
        <v>117</v>
      </c>
      <c r="C170" s="3"/>
      <c r="D170" s="3"/>
      <c r="E170" s="13">
        <f t="shared" ref="E170:I170" si="85">SUM(E165:E169)</f>
        <v>57679.98</v>
      </c>
      <c r="F170" s="326">
        <f t="shared" si="85"/>
        <v>61620</v>
      </c>
      <c r="G170" s="153">
        <f t="shared" si="85"/>
        <v>61621.25</v>
      </c>
      <c r="H170" s="13">
        <f t="shared" si="85"/>
        <v>61617.75</v>
      </c>
      <c r="I170" s="13">
        <f t="shared" si="85"/>
        <v>61609.5</v>
      </c>
      <c r="J170" s="13">
        <f t="shared" ref="J170:P170" si="86">SUM(J165:J169)</f>
        <v>61596.5</v>
      </c>
      <c r="K170" s="13">
        <f t="shared" si="86"/>
        <v>61578.75</v>
      </c>
      <c r="L170" s="13">
        <f t="shared" si="86"/>
        <v>61556.25</v>
      </c>
      <c r="M170" s="13">
        <f t="shared" si="86"/>
        <v>61529</v>
      </c>
      <c r="N170" s="13">
        <f t="shared" si="86"/>
        <v>61497</v>
      </c>
      <c r="O170" s="13">
        <f t="shared" si="86"/>
        <v>61460.25</v>
      </c>
      <c r="P170" s="13">
        <f t="shared" si="86"/>
        <v>61418.75</v>
      </c>
    </row>
    <row r="171" spans="1:16" ht="12.75" customHeight="1" x14ac:dyDescent="0.25">
      <c r="A171" s="127"/>
      <c r="B171" s="13"/>
      <c r="C171" s="3"/>
      <c r="D171" s="3"/>
      <c r="E171" s="13"/>
      <c r="F171" s="326"/>
      <c r="G171" s="153"/>
      <c r="H171" s="13"/>
      <c r="I171" s="13"/>
      <c r="J171" s="13"/>
      <c r="K171" s="13"/>
      <c r="L171" s="13"/>
      <c r="M171" s="13"/>
      <c r="N171" s="13"/>
      <c r="O171" s="13"/>
      <c r="P171" s="13"/>
    </row>
    <row r="172" spans="1:16" ht="12.75" customHeight="1" x14ac:dyDescent="0.25">
      <c r="A172" s="82"/>
      <c r="B172" s="82" t="s">
        <v>48</v>
      </c>
      <c r="C172" s="3"/>
      <c r="D172" s="3"/>
      <c r="E172" s="13"/>
      <c r="F172" s="326"/>
      <c r="G172" s="153"/>
      <c r="H172" s="13"/>
      <c r="I172" s="13"/>
      <c r="J172" s="13"/>
      <c r="K172" s="13"/>
      <c r="L172" s="13"/>
      <c r="M172" s="13"/>
      <c r="N172" s="13"/>
      <c r="O172" s="13"/>
      <c r="P172" s="13"/>
    </row>
    <row r="173" spans="1:16" ht="12.75" customHeight="1" x14ac:dyDescent="0.25">
      <c r="A173" s="82"/>
      <c r="B173" s="129" t="s">
        <v>145</v>
      </c>
      <c r="C173" s="3"/>
      <c r="D173" s="3"/>
      <c r="E173" s="20">
        <f>(E$22*$E103)+(E$23*$F103)+(E$24*$G103)+(E$25*$H103)+(E$26*$I103)+(E$27*$J103)+(E$28*$K103)+(E$29*$L103)+(E$30*$M103)+(E$31*$N103)+(E$32*$O103)</f>
        <v>0</v>
      </c>
      <c r="F173" s="329">
        <f t="shared" ref="F173:I173" si="87">(F$22*$E103)+(F$23*$F103)+(F$24*$G103)+(F$25*$H103)+(F$26*$I103)+(F$27*$J103)+(F$28*$K103)+(F$29*$L103)+(F$30*$M103)+(F$31*$N103)+(F$32*$O103)</f>
        <v>0</v>
      </c>
      <c r="G173" s="160">
        <f t="shared" si="87"/>
        <v>0</v>
      </c>
      <c r="H173" s="13">
        <f t="shared" si="87"/>
        <v>0</v>
      </c>
      <c r="I173" s="13">
        <f t="shared" si="87"/>
        <v>0</v>
      </c>
      <c r="J173" s="13">
        <f t="shared" ref="J173:O173" si="88">(J$22*$E103)+(J$23*$F103)+(J$24*$G103)+(J$25*$H103)+(J$26*$I103)+(J$27*$J103)+(J$28*$K103)+(J$29*$L103)+(J$30*$M103)+(J$31*$N103)+(J$32*$O103)</f>
        <v>0</v>
      </c>
      <c r="K173" s="13">
        <f t="shared" si="88"/>
        <v>0</v>
      </c>
      <c r="L173" s="13">
        <f t="shared" si="88"/>
        <v>0</v>
      </c>
      <c r="M173" s="13">
        <f t="shared" si="88"/>
        <v>0</v>
      </c>
      <c r="N173" s="13">
        <f t="shared" si="88"/>
        <v>0</v>
      </c>
      <c r="O173" s="13">
        <f t="shared" si="88"/>
        <v>0</v>
      </c>
      <c r="P173" s="13">
        <f>(P$22*$E103)+(P$23*$F103)+(P$24*$G103)+(P$25*$H103)+(P$26*$I103)+(P$27*$J103)+(P$28*$K103)+(P$29*$L103)+(P$30*$M103)+(P$31*$N103)+(P$32*$O103)</f>
        <v>0</v>
      </c>
    </row>
    <row r="174" spans="1:16" ht="12.75" customHeight="1" x14ac:dyDescent="0.25">
      <c r="A174" s="82"/>
      <c r="B174" s="129" t="s">
        <v>146</v>
      </c>
      <c r="C174" s="3"/>
      <c r="D174" s="3"/>
      <c r="E174" s="13">
        <f t="shared" ref="E174:I174" si="89">(E$22*$E104)+(E$23*$F104)+(E$24*$G104)+(E$25*$H104)+(E$26*$I104)+(E$27*$J104)+(E$28*$K104)+(E$29*$L104)+(E$30*$M104)+(E$31*$N104)+(E$32*$O104)</f>
        <v>0</v>
      </c>
      <c r="F174" s="326">
        <f t="shared" si="89"/>
        <v>0</v>
      </c>
      <c r="G174" s="153">
        <f t="shared" si="89"/>
        <v>0</v>
      </c>
      <c r="H174" s="13">
        <f t="shared" si="89"/>
        <v>0</v>
      </c>
      <c r="I174" s="13">
        <f t="shared" si="89"/>
        <v>0</v>
      </c>
      <c r="J174" s="13">
        <f t="shared" ref="J174:P174" si="90">(J$22*$E104)+(J$23*$F104)+(J$24*$G104)+(J$25*$H104)+(J$26*$I104)+(J$27*$J104)+(J$28*$K104)+(J$29*$L104)+(J$30*$M104)+(J$31*$N104)+(J$32*$O104)</f>
        <v>0</v>
      </c>
      <c r="K174" s="13">
        <f t="shared" si="90"/>
        <v>0</v>
      </c>
      <c r="L174" s="13">
        <f t="shared" si="90"/>
        <v>0</v>
      </c>
      <c r="M174" s="13">
        <f t="shared" si="90"/>
        <v>0</v>
      </c>
      <c r="N174" s="13">
        <f t="shared" si="90"/>
        <v>0</v>
      </c>
      <c r="O174" s="13">
        <f t="shared" si="90"/>
        <v>0</v>
      </c>
      <c r="P174" s="13">
        <f t="shared" si="90"/>
        <v>0</v>
      </c>
    </row>
    <row r="175" spans="1:16" ht="12.75" customHeight="1" x14ac:dyDescent="0.25">
      <c r="A175" s="82"/>
      <c r="B175" s="266" t="s">
        <v>147</v>
      </c>
      <c r="C175" s="22"/>
      <c r="D175" s="22"/>
      <c r="E175" s="30">
        <f t="shared" ref="E175:I175" si="91">(E$22*$E105)+(E$23*$F105)+(E$24*$G105)+(E$25*$H105)+(E$26*$I105)+(E$27*$J105)+(E$28*$K105)+(E$29*$L105)+(E$30*$M105)+(E$31*$N105)+(E$32*$O105)</f>
        <v>57679.98</v>
      </c>
      <c r="F175" s="335">
        <f t="shared" si="91"/>
        <v>61620</v>
      </c>
      <c r="G175" s="154">
        <f t="shared" si="91"/>
        <v>61621.25</v>
      </c>
      <c r="H175" s="30">
        <f t="shared" si="91"/>
        <v>61617.75</v>
      </c>
      <c r="I175" s="30">
        <f t="shared" si="91"/>
        <v>61609.5</v>
      </c>
      <c r="J175" s="30">
        <f t="shared" ref="J175:P175" si="92">(J$22*$E105)+(J$23*$F105)+(J$24*$G105)+(J$25*$H105)+(J$26*$I105)+(J$27*$J105)+(J$28*$K105)+(J$29*$L105)+(J$30*$M105)+(J$31*$N105)+(J$32*$O105)</f>
        <v>61596.5</v>
      </c>
      <c r="K175" s="30">
        <f t="shared" si="92"/>
        <v>61578.75</v>
      </c>
      <c r="L175" s="30">
        <f t="shared" si="92"/>
        <v>61556.25</v>
      </c>
      <c r="M175" s="30">
        <f t="shared" si="92"/>
        <v>61529</v>
      </c>
      <c r="N175" s="30">
        <f t="shared" si="92"/>
        <v>61497</v>
      </c>
      <c r="O175" s="30">
        <f t="shared" si="92"/>
        <v>61460.25</v>
      </c>
      <c r="P175" s="30">
        <f t="shared" si="92"/>
        <v>61418.75</v>
      </c>
    </row>
    <row r="176" spans="1:16" ht="12.75" customHeight="1" x14ac:dyDescent="0.25">
      <c r="A176" s="128"/>
      <c r="B176" s="129" t="s">
        <v>115</v>
      </c>
      <c r="C176" s="3"/>
      <c r="D176" s="3"/>
      <c r="E176" s="20">
        <f>SUM(E173:E175)</f>
        <v>57679.98</v>
      </c>
      <c r="F176" s="329">
        <f t="shared" ref="F176:I176" si="93">SUM(F173:F175)</f>
        <v>61620</v>
      </c>
      <c r="G176" s="160">
        <f t="shared" si="93"/>
        <v>61621.25</v>
      </c>
      <c r="H176" s="20">
        <f t="shared" si="93"/>
        <v>61617.75</v>
      </c>
      <c r="I176" s="20">
        <f t="shared" si="93"/>
        <v>61609.5</v>
      </c>
      <c r="J176" s="20">
        <f t="shared" ref="J176:P176" si="94">SUM(J173:J175)</f>
        <v>61596.5</v>
      </c>
      <c r="K176" s="20">
        <f t="shared" si="94"/>
        <v>61578.75</v>
      </c>
      <c r="L176" s="20">
        <f t="shared" si="94"/>
        <v>61556.25</v>
      </c>
      <c r="M176" s="20">
        <f t="shared" si="94"/>
        <v>61529</v>
      </c>
      <c r="N176" s="20">
        <f t="shared" si="94"/>
        <v>61497</v>
      </c>
      <c r="O176" s="20">
        <f t="shared" si="94"/>
        <v>61460.25</v>
      </c>
      <c r="P176" s="20">
        <f t="shared" si="94"/>
        <v>61418.75</v>
      </c>
    </row>
    <row r="177" spans="1:16" ht="12.75" customHeight="1" thickBot="1" x14ac:dyDescent="0.3">
      <c r="A177" s="82"/>
      <c r="B177" s="33"/>
      <c r="C177" s="32"/>
      <c r="D177" s="32"/>
      <c r="E177" s="33"/>
      <c r="F177" s="333"/>
      <c r="G177" s="174"/>
      <c r="H177" s="33"/>
      <c r="I177" s="33"/>
      <c r="J177" s="33"/>
      <c r="K177" s="33"/>
      <c r="L177" s="33"/>
      <c r="M177" s="33"/>
      <c r="N177" s="33"/>
      <c r="O177" s="33"/>
      <c r="P177" s="33"/>
    </row>
    <row r="178" spans="1:16" ht="12.75" customHeight="1" thickTop="1" x14ac:dyDescent="0.25">
      <c r="A178" s="3"/>
      <c r="B178" s="82" t="s">
        <v>98</v>
      </c>
      <c r="C178" s="3"/>
      <c r="D178" s="3"/>
      <c r="E178" s="13">
        <f>E170+E176</f>
        <v>115359.96</v>
      </c>
      <c r="F178" s="326">
        <f t="shared" ref="F178:I178" si="95">F170+F176</f>
        <v>123240</v>
      </c>
      <c r="G178" s="153">
        <f t="shared" si="95"/>
        <v>123242.5</v>
      </c>
      <c r="H178" s="13">
        <f t="shared" si="95"/>
        <v>123235.5</v>
      </c>
      <c r="I178" s="13">
        <f t="shared" si="95"/>
        <v>123219</v>
      </c>
      <c r="J178" s="13">
        <f t="shared" ref="J178:P178" si="96">J170+J176</f>
        <v>123193</v>
      </c>
      <c r="K178" s="13">
        <f t="shared" si="96"/>
        <v>123157.5</v>
      </c>
      <c r="L178" s="13">
        <f t="shared" si="96"/>
        <v>123112.5</v>
      </c>
      <c r="M178" s="13">
        <f t="shared" si="96"/>
        <v>123058</v>
      </c>
      <c r="N178" s="13">
        <f t="shared" si="96"/>
        <v>122994</v>
      </c>
      <c r="O178" s="13">
        <f t="shared" si="96"/>
        <v>122920.5</v>
      </c>
      <c r="P178" s="13">
        <f t="shared" si="96"/>
        <v>122837.5</v>
      </c>
    </row>
    <row r="179" spans="1:16" ht="12.75" customHeight="1" x14ac:dyDescent="0.25">
      <c r="A179" s="267"/>
      <c r="B179" s="124"/>
      <c r="C179" s="124"/>
      <c r="D179" s="124"/>
      <c r="E179" s="124"/>
      <c r="F179" s="332"/>
      <c r="G179" s="268"/>
      <c r="H179" s="124"/>
      <c r="I179" s="124"/>
      <c r="J179" s="124"/>
      <c r="K179" s="124"/>
      <c r="L179" s="124"/>
      <c r="M179" s="124"/>
      <c r="N179" s="124"/>
      <c r="O179" s="124"/>
      <c r="P179" s="124"/>
    </row>
    <row r="180" spans="1:16" ht="12.75" customHeight="1" x14ac:dyDescent="0.25">
      <c r="A180" s="278" t="s">
        <v>167</v>
      </c>
      <c r="B180" s="124"/>
      <c r="C180" s="124"/>
      <c r="D180" s="124"/>
      <c r="E180" s="124"/>
      <c r="F180" s="332"/>
      <c r="G180" s="160"/>
      <c r="H180" s="124"/>
      <c r="I180" s="124"/>
      <c r="J180" s="124"/>
      <c r="K180" s="124"/>
      <c r="L180" s="124"/>
      <c r="M180" s="124"/>
      <c r="N180" s="124"/>
      <c r="O180" s="124"/>
      <c r="P180" s="124"/>
    </row>
    <row r="181" spans="1:16" ht="12.75" customHeight="1" x14ac:dyDescent="0.25">
      <c r="A181" s="3"/>
      <c r="B181" s="3" t="s">
        <v>217</v>
      </c>
      <c r="C181" s="124"/>
      <c r="D181" s="124"/>
      <c r="E181" s="124"/>
      <c r="F181" s="332"/>
      <c r="G181" s="268"/>
      <c r="H181" s="124"/>
      <c r="I181" s="124"/>
      <c r="J181" s="124"/>
      <c r="K181" s="124"/>
      <c r="L181" s="124"/>
      <c r="M181" s="124"/>
      <c r="N181" s="124"/>
      <c r="O181" s="124"/>
      <c r="P181" s="124"/>
    </row>
    <row r="182" spans="1:16" ht="12.75" customHeight="1" x14ac:dyDescent="0.25">
      <c r="A182" s="3"/>
      <c r="B182" s="264" t="s">
        <v>46</v>
      </c>
      <c r="C182" s="3"/>
      <c r="D182" s="3"/>
      <c r="E182" s="13"/>
      <c r="F182" s="326"/>
      <c r="G182" s="160">
        <f>(G$50*$E139)+(G$51*$F139)+(G$52*$G139)+(G$53*$H139)+(G$54*$I139)+(G$55*$J139)+(G$56*$K139)+(G$57*$L139)+(G$58*$M139)+(G$59*$N139)</f>
        <v>0</v>
      </c>
      <c r="H182" s="13">
        <f t="shared" ref="H182:P182" si="97">(H$50*$E139)+(H$51*$F139)+(H$52*$G139)+(H$53*$H139)+(H$54*$I139)+(H$55*$J139)+(H$56*$K139)+(H$57*$L139)+(H$58*$M139)+(H$59*$N139)</f>
        <v>0</v>
      </c>
      <c r="I182" s="13">
        <f t="shared" si="97"/>
        <v>0</v>
      </c>
      <c r="J182" s="13">
        <f t="shared" si="97"/>
        <v>0</v>
      </c>
      <c r="K182" s="13">
        <f>(K$50*$E139)+(K$51*$F139)+(K$52*$G139)+(K$53*$H139)+(K$54*$I139)+(K$55*$J139)+(K$56*$K139)+(K$57*$L139)+(K$58*$M139)+(K$59*$N139)</f>
        <v>0</v>
      </c>
      <c r="L182" s="13">
        <f t="shared" si="97"/>
        <v>0</v>
      </c>
      <c r="M182" s="13">
        <f t="shared" si="97"/>
        <v>0</v>
      </c>
      <c r="N182" s="13">
        <f t="shared" si="97"/>
        <v>0</v>
      </c>
      <c r="O182" s="13">
        <f t="shared" si="97"/>
        <v>0</v>
      </c>
      <c r="P182" s="13">
        <f t="shared" si="97"/>
        <v>0</v>
      </c>
    </row>
    <row r="183" spans="1:16" ht="12.75" customHeight="1" x14ac:dyDescent="0.25">
      <c r="A183" s="3"/>
      <c r="B183" s="264" t="s">
        <v>47</v>
      </c>
      <c r="C183" s="3"/>
      <c r="D183" s="3"/>
      <c r="E183" s="13"/>
      <c r="F183" s="326"/>
      <c r="G183" s="160">
        <f t="shared" ref="G183:P183" si="98">(G$50*$E140)+(G$51*$F140)+(G$52*$G140)+(G$53*$H140)+(G$54*$I140)+(G$55*$J140)+(G$56*$K140)+(G$57*$L140)+(G$58*$M140)+(G$59*$N140)</f>
        <v>0</v>
      </c>
      <c r="H183" s="13">
        <f t="shared" si="98"/>
        <v>0</v>
      </c>
      <c r="I183" s="13">
        <f t="shared" si="98"/>
        <v>0</v>
      </c>
      <c r="J183" s="13">
        <f t="shared" si="98"/>
        <v>0</v>
      </c>
      <c r="K183" s="13">
        <f t="shared" si="98"/>
        <v>0</v>
      </c>
      <c r="L183" s="13">
        <f t="shared" si="98"/>
        <v>0</v>
      </c>
      <c r="M183" s="13">
        <f t="shared" si="98"/>
        <v>0</v>
      </c>
      <c r="N183" s="13">
        <f t="shared" si="98"/>
        <v>0</v>
      </c>
      <c r="O183" s="13">
        <f t="shared" si="98"/>
        <v>0</v>
      </c>
      <c r="P183" s="13">
        <f t="shared" si="98"/>
        <v>0</v>
      </c>
    </row>
    <row r="184" spans="1:16" ht="12.75" customHeight="1" x14ac:dyDescent="0.25">
      <c r="A184" s="3"/>
      <c r="B184" s="82" t="s">
        <v>143</v>
      </c>
      <c r="C184" s="3"/>
      <c r="D184" s="3"/>
      <c r="E184" s="13"/>
      <c r="F184" s="326"/>
      <c r="G184" s="153">
        <f t="shared" ref="G184:P184" si="99">(G$50*$E141)+(G$51*$F141)+(G$52*$G141)+(G$53*$H141)+(G$54*$I141)+(G$55*$J141)+(G$56*$K141)+(G$57*$L141)+(G$58*$M141)+(G$59*$N141)</f>
        <v>0</v>
      </c>
      <c r="H184" s="13">
        <f t="shared" si="99"/>
        <v>0</v>
      </c>
      <c r="I184" s="13">
        <f t="shared" si="99"/>
        <v>0</v>
      </c>
      <c r="J184" s="13">
        <f t="shared" si="99"/>
        <v>0</v>
      </c>
      <c r="K184" s="13">
        <f t="shared" si="99"/>
        <v>0</v>
      </c>
      <c r="L184" s="13">
        <f t="shared" si="99"/>
        <v>0</v>
      </c>
      <c r="M184" s="13">
        <f t="shared" si="99"/>
        <v>0</v>
      </c>
      <c r="N184" s="13">
        <f t="shared" si="99"/>
        <v>0</v>
      </c>
      <c r="O184" s="13">
        <f t="shared" si="99"/>
        <v>0</v>
      </c>
      <c r="P184" s="13">
        <f t="shared" si="99"/>
        <v>0</v>
      </c>
    </row>
    <row r="185" spans="1:16" ht="12.75" customHeight="1" x14ac:dyDescent="0.25">
      <c r="A185" s="3"/>
      <c r="B185" s="82" t="s">
        <v>73</v>
      </c>
      <c r="C185" s="3"/>
      <c r="D185" s="3"/>
      <c r="E185" s="13"/>
      <c r="F185" s="326"/>
      <c r="G185" s="153">
        <f t="shared" ref="G185:O185" si="100">(G$50*$E142)+(G$51*$F142)+(G$52*$G142)+(G$53*$H142)+(G$54*$I142)+(G$55*$J142)+(G$56*$K142)+(G$57*$L142)+(G$58*$M142)+(G$59*$N142)</f>
        <v>0</v>
      </c>
      <c r="H185" s="13">
        <f t="shared" si="100"/>
        <v>0</v>
      </c>
      <c r="I185" s="13">
        <f t="shared" si="100"/>
        <v>0</v>
      </c>
      <c r="J185" s="13">
        <f t="shared" si="100"/>
        <v>0</v>
      </c>
      <c r="K185" s="13">
        <f t="shared" si="100"/>
        <v>0</v>
      </c>
      <c r="L185" s="13">
        <f t="shared" si="100"/>
        <v>0</v>
      </c>
      <c r="M185" s="13">
        <f t="shared" si="100"/>
        <v>0</v>
      </c>
      <c r="N185" s="13">
        <f t="shared" si="100"/>
        <v>0</v>
      </c>
      <c r="O185" s="13">
        <f t="shared" si="100"/>
        <v>0</v>
      </c>
      <c r="P185" s="13">
        <f>(P$50*$E142)+(P$51*$F142)+(P$52*$G142)+(P$53*$H142)+(P$54*$I142)+(P$55*$J142)+(P$56*$K142)+(P$57*$L142)+(P$58*$M142)+(P$59*$N142)</f>
        <v>0</v>
      </c>
    </row>
    <row r="186" spans="1:16" ht="12.75" customHeight="1" x14ac:dyDescent="0.25">
      <c r="A186" s="3"/>
      <c r="B186" s="83" t="s">
        <v>144</v>
      </c>
      <c r="C186" s="22"/>
      <c r="D186" s="22"/>
      <c r="E186" s="30"/>
      <c r="F186" s="335"/>
      <c r="G186" s="154">
        <f t="shared" ref="G186:P186" si="101">(G$50*$E143)+(G$51*$F143)+(G$52*$G143)+(G$53*$H143)+(G$54*$I143)+(G$55*$J143)+(G$56*$K143)+(G$57*$L143)+(G$58*$M143)+(G$59*$N143)</f>
        <v>0</v>
      </c>
      <c r="H186" s="30">
        <f t="shared" si="101"/>
        <v>0</v>
      </c>
      <c r="I186" s="30">
        <f t="shared" si="101"/>
        <v>0</v>
      </c>
      <c r="J186" s="30">
        <f t="shared" si="101"/>
        <v>0</v>
      </c>
      <c r="K186" s="30">
        <f t="shared" si="101"/>
        <v>0</v>
      </c>
      <c r="L186" s="30">
        <f t="shared" si="101"/>
        <v>0</v>
      </c>
      <c r="M186" s="30">
        <f t="shared" si="101"/>
        <v>0</v>
      </c>
      <c r="N186" s="30">
        <f t="shared" si="101"/>
        <v>0</v>
      </c>
      <c r="O186" s="30">
        <f t="shared" si="101"/>
        <v>0</v>
      </c>
      <c r="P186" s="30">
        <f t="shared" si="101"/>
        <v>0</v>
      </c>
    </row>
    <row r="187" spans="1:16" ht="12.75" customHeight="1" x14ac:dyDescent="0.25">
      <c r="A187" s="127"/>
      <c r="B187" s="129" t="s">
        <v>117</v>
      </c>
      <c r="C187" s="3"/>
      <c r="D187" s="3"/>
      <c r="E187" s="13"/>
      <c r="F187" s="326"/>
      <c r="G187" s="153">
        <f>SUM(G182:G186)</f>
        <v>0</v>
      </c>
      <c r="H187" s="13">
        <f>SUM(H182:H186)</f>
        <v>0</v>
      </c>
      <c r="I187" s="13">
        <f>SUM(I182:I186)</f>
        <v>0</v>
      </c>
      <c r="J187" s="13">
        <f t="shared" ref="J187:P187" si="102">SUM(J182:J186)</f>
        <v>0</v>
      </c>
      <c r="K187" s="13">
        <f t="shared" si="102"/>
        <v>0</v>
      </c>
      <c r="L187" s="13">
        <f t="shared" si="102"/>
        <v>0</v>
      </c>
      <c r="M187" s="13">
        <f t="shared" si="102"/>
        <v>0</v>
      </c>
      <c r="N187" s="13">
        <f t="shared" si="102"/>
        <v>0</v>
      </c>
      <c r="O187" s="13">
        <f t="shared" si="102"/>
        <v>0</v>
      </c>
      <c r="P187" s="13">
        <f t="shared" si="102"/>
        <v>0</v>
      </c>
    </row>
    <row r="188" spans="1:16" ht="12.75" customHeight="1" x14ac:dyDescent="0.25">
      <c r="A188" s="127"/>
      <c r="B188" s="13"/>
      <c r="C188" s="3"/>
      <c r="D188" s="3"/>
      <c r="E188" s="13"/>
      <c r="F188" s="326"/>
      <c r="G188" s="153"/>
      <c r="H188" s="13"/>
      <c r="I188" s="13"/>
      <c r="J188" s="13"/>
      <c r="K188" s="13"/>
      <c r="L188" s="13"/>
      <c r="M188" s="13"/>
      <c r="N188" s="13"/>
      <c r="O188" s="13"/>
      <c r="P188" s="13"/>
    </row>
    <row r="189" spans="1:16" ht="12.75" customHeight="1" x14ac:dyDescent="0.25">
      <c r="A189" s="16"/>
      <c r="B189" s="82" t="s">
        <v>48</v>
      </c>
      <c r="C189" s="3"/>
      <c r="D189" s="3"/>
      <c r="E189" s="13"/>
      <c r="F189" s="326"/>
      <c r="G189" s="153"/>
      <c r="H189" s="13"/>
      <c r="I189" s="13"/>
      <c r="J189" s="13"/>
      <c r="K189" s="13"/>
      <c r="L189" s="13"/>
      <c r="M189" s="13"/>
      <c r="N189" s="13"/>
      <c r="O189" s="13"/>
      <c r="P189" s="13"/>
    </row>
    <row r="190" spans="1:16" ht="12.75" customHeight="1" x14ac:dyDescent="0.25">
      <c r="A190" s="82"/>
      <c r="B190" s="129" t="s">
        <v>145</v>
      </c>
      <c r="C190" s="3"/>
      <c r="D190" s="3"/>
      <c r="E190" s="13"/>
      <c r="F190" s="326"/>
      <c r="G190" s="160">
        <f>(G$50*$E147)+(G$51*$F147)+(G$52*$G147)+(G$53*$H147)+(G$54*$I147)+(G$55*$J147)+(G$56*$K147)+(G$57*$L147)+(G$58*$M147)+(G$59*$N147)</f>
        <v>0</v>
      </c>
      <c r="H190" s="13">
        <f t="shared" ref="H190:P190" si="103">(H$50*$E147)+(H$51*$F147)+(H$52*$G147)+(H$53*$H147)+(H$54*$I147)+(H$55*$J147)+(H$56*$K147)+(H$57*$L147)+(H$58*$M147)+(H$59*$N147)</f>
        <v>0</v>
      </c>
      <c r="I190" s="13">
        <f t="shared" si="103"/>
        <v>32892.352787159318</v>
      </c>
      <c r="J190" s="13">
        <f t="shared" si="103"/>
        <v>65784.705574318636</v>
      </c>
      <c r="K190" s="13">
        <f t="shared" si="103"/>
        <v>65784.705574318636</v>
      </c>
      <c r="L190" s="13">
        <f t="shared" si="103"/>
        <v>65784.705574318636</v>
      </c>
      <c r="M190" s="13">
        <f t="shared" si="103"/>
        <v>65784.705574318636</v>
      </c>
      <c r="N190" s="13">
        <f t="shared" si="103"/>
        <v>65784.705574318636</v>
      </c>
      <c r="O190" s="13">
        <f t="shared" si="103"/>
        <v>65784.705574318636</v>
      </c>
      <c r="P190" s="13">
        <f t="shared" si="103"/>
        <v>65784.705574318636</v>
      </c>
    </row>
    <row r="191" spans="1:16" ht="12.75" customHeight="1" x14ac:dyDescent="0.25">
      <c r="A191" s="82"/>
      <c r="B191" s="129" t="s">
        <v>146</v>
      </c>
      <c r="C191" s="3"/>
      <c r="D191" s="3"/>
      <c r="E191" s="13"/>
      <c r="F191" s="326"/>
      <c r="G191" s="153">
        <f t="shared" ref="G191:P191" si="104">(G$50*$E148)+(G$51*$F148)+(G$52*$G148)+(G$53*$H148)+(G$54*$I148)+(G$55*$J148)+(G$56*$K148)+(G$57*$L148)+(G$58*$M148)+(G$59*$N148)</f>
        <v>0</v>
      </c>
      <c r="H191" s="13">
        <f t="shared" si="104"/>
        <v>0</v>
      </c>
      <c r="I191" s="13">
        <f t="shared" si="104"/>
        <v>17311.764624820695</v>
      </c>
      <c r="J191" s="13">
        <f t="shared" si="104"/>
        <v>34623.529249641389</v>
      </c>
      <c r="K191" s="13">
        <f t="shared" si="104"/>
        <v>34623.529249641389</v>
      </c>
      <c r="L191" s="13">
        <f t="shared" si="104"/>
        <v>34623.529249641389</v>
      </c>
      <c r="M191" s="13">
        <f t="shared" si="104"/>
        <v>34623.529249641389</v>
      </c>
      <c r="N191" s="13">
        <f t="shared" si="104"/>
        <v>34623.529249641389</v>
      </c>
      <c r="O191" s="13">
        <f t="shared" si="104"/>
        <v>34623.529249641389</v>
      </c>
      <c r="P191" s="13">
        <f t="shared" si="104"/>
        <v>34623.529249641389</v>
      </c>
    </row>
    <row r="192" spans="1:16" ht="12.75" customHeight="1" x14ac:dyDescent="0.25">
      <c r="A192" s="82"/>
      <c r="B192" s="266" t="s">
        <v>147</v>
      </c>
      <c r="C192" s="22"/>
      <c r="D192" s="22"/>
      <c r="E192" s="30"/>
      <c r="F192" s="335"/>
      <c r="G192" s="154">
        <f t="shared" ref="G192:P192" si="105">(G$50*$E149)+(G$51*$F149)+(G$52*$G149)+(G$53*$H149)+(G$54*$I149)+(G$55*$J149)+(G$56*$K149)+(G$57*$L149)+(G$58*$M149)+(G$59*$N149)</f>
        <v>0</v>
      </c>
      <c r="H192" s="30">
        <f t="shared" si="105"/>
        <v>0</v>
      </c>
      <c r="I192" s="30">
        <f t="shared" si="105"/>
        <v>0</v>
      </c>
      <c r="J192" s="30">
        <f t="shared" si="105"/>
        <v>0</v>
      </c>
      <c r="K192" s="30">
        <f t="shared" si="105"/>
        <v>0</v>
      </c>
      <c r="L192" s="30">
        <f t="shared" si="105"/>
        <v>0</v>
      </c>
      <c r="M192" s="30">
        <f t="shared" si="105"/>
        <v>0</v>
      </c>
      <c r="N192" s="30">
        <f t="shared" si="105"/>
        <v>0</v>
      </c>
      <c r="O192" s="30">
        <f t="shared" si="105"/>
        <v>0</v>
      </c>
      <c r="P192" s="30">
        <f t="shared" si="105"/>
        <v>0</v>
      </c>
    </row>
    <row r="193" spans="1:16" ht="12.75" customHeight="1" x14ac:dyDescent="0.25">
      <c r="A193" s="128"/>
      <c r="B193" s="129" t="s">
        <v>115</v>
      </c>
      <c r="C193" s="3"/>
      <c r="D193" s="3"/>
      <c r="E193" s="20"/>
      <c r="F193" s="329"/>
      <c r="G193" s="160">
        <f>SUM(G189:G192)</f>
        <v>0</v>
      </c>
      <c r="H193" s="20">
        <f>SUM(H189:H192)</f>
        <v>0</v>
      </c>
      <c r="I193" s="20">
        <f>SUM(I189:I192)</f>
        <v>50204.117411980013</v>
      </c>
      <c r="J193" s="20">
        <f t="shared" ref="J193:P193" si="106">SUM(J189:J192)</f>
        <v>100408.23482396003</v>
      </c>
      <c r="K193" s="20">
        <f t="shared" si="106"/>
        <v>100408.23482396003</v>
      </c>
      <c r="L193" s="20">
        <f t="shared" si="106"/>
        <v>100408.23482396003</v>
      </c>
      <c r="M193" s="20">
        <f t="shared" si="106"/>
        <v>100408.23482396003</v>
      </c>
      <c r="N193" s="20">
        <f t="shared" si="106"/>
        <v>100408.23482396003</v>
      </c>
      <c r="O193" s="20">
        <f t="shared" si="106"/>
        <v>100408.23482396003</v>
      </c>
      <c r="P193" s="20">
        <f t="shared" si="106"/>
        <v>100408.23482396003</v>
      </c>
    </row>
    <row r="194" spans="1:16" ht="12.75" customHeight="1" thickBot="1" x14ac:dyDescent="0.3">
      <c r="A194" s="82"/>
      <c r="B194" s="33"/>
      <c r="C194" s="32"/>
      <c r="D194" s="32"/>
      <c r="E194" s="33"/>
      <c r="F194" s="333"/>
      <c r="G194" s="174"/>
      <c r="H194" s="33"/>
      <c r="I194" s="33"/>
      <c r="J194" s="33"/>
      <c r="K194" s="33"/>
      <c r="L194" s="33"/>
      <c r="M194" s="33"/>
      <c r="N194" s="33"/>
      <c r="O194" s="33"/>
      <c r="P194" s="33"/>
    </row>
    <row r="195" spans="1:16" ht="12.75" customHeight="1" thickTop="1" x14ac:dyDescent="0.25">
      <c r="A195" s="3"/>
      <c r="B195" s="278" t="s">
        <v>168</v>
      </c>
      <c r="C195" s="3"/>
      <c r="D195" s="3"/>
      <c r="E195" s="13"/>
      <c r="F195" s="326"/>
      <c r="G195" s="153">
        <f>G187+G193</f>
        <v>0</v>
      </c>
      <c r="H195" s="13">
        <f>H187+H193</f>
        <v>0</v>
      </c>
      <c r="I195" s="13">
        <f>I187+I193</f>
        <v>50204.117411980013</v>
      </c>
      <c r="J195" s="13">
        <f t="shared" ref="J195:P195" si="107">J187+J193</f>
        <v>100408.23482396003</v>
      </c>
      <c r="K195" s="13">
        <f t="shared" si="107"/>
        <v>100408.23482396003</v>
      </c>
      <c r="L195" s="13">
        <f t="shared" si="107"/>
        <v>100408.23482396003</v>
      </c>
      <c r="M195" s="13">
        <f t="shared" si="107"/>
        <v>100408.23482396003</v>
      </c>
      <c r="N195" s="13">
        <f t="shared" si="107"/>
        <v>100408.23482396003</v>
      </c>
      <c r="O195" s="13">
        <f t="shared" si="107"/>
        <v>100408.23482396003</v>
      </c>
      <c r="P195" s="13">
        <f t="shared" si="107"/>
        <v>100408.23482396003</v>
      </c>
    </row>
    <row r="196" spans="1:16" ht="12.75" customHeight="1" x14ac:dyDescent="0.25">
      <c r="A196" s="278"/>
      <c r="B196" s="264"/>
      <c r="C196" s="3"/>
      <c r="D196" s="3"/>
      <c r="E196" s="13"/>
      <c r="F196" s="326"/>
      <c r="G196" s="153"/>
      <c r="H196" s="13"/>
      <c r="I196" s="13"/>
      <c r="J196" s="13"/>
      <c r="K196" s="13"/>
      <c r="L196" s="13"/>
      <c r="M196" s="13"/>
      <c r="N196" s="13"/>
      <c r="O196" s="13"/>
      <c r="P196" s="13"/>
    </row>
    <row r="197" spans="1:16" ht="12.75" customHeight="1" x14ac:dyDescent="0.25">
      <c r="A197" s="278" t="s">
        <v>96</v>
      </c>
      <c r="B197" s="124"/>
      <c r="C197" s="124"/>
      <c r="D197" s="124"/>
      <c r="E197" s="124"/>
      <c r="F197" s="332"/>
      <c r="G197" s="160"/>
      <c r="H197" s="124"/>
      <c r="I197" s="124"/>
      <c r="J197" s="124"/>
      <c r="K197" s="124"/>
      <c r="L197" s="124"/>
      <c r="M197" s="124"/>
      <c r="N197" s="124"/>
      <c r="O197" s="124"/>
      <c r="P197" s="124"/>
    </row>
    <row r="198" spans="1:16" ht="12.75" customHeight="1" x14ac:dyDescent="0.25">
      <c r="A198" s="3"/>
      <c r="B198" s="3" t="s">
        <v>217</v>
      </c>
      <c r="C198" s="124"/>
      <c r="D198" s="124"/>
      <c r="E198" s="124"/>
      <c r="F198" s="332"/>
      <c r="G198" s="268"/>
      <c r="H198" s="124"/>
      <c r="I198" s="124"/>
      <c r="J198" s="124"/>
      <c r="K198" s="124"/>
      <c r="L198" s="124"/>
      <c r="M198" s="124"/>
      <c r="N198" s="124"/>
      <c r="O198" s="124"/>
      <c r="P198" s="124"/>
    </row>
    <row r="199" spans="1:16" ht="12.75" customHeight="1" x14ac:dyDescent="0.25">
      <c r="A199" s="3"/>
      <c r="B199" s="264" t="s">
        <v>46</v>
      </c>
      <c r="C199" s="3"/>
      <c r="D199" s="3"/>
      <c r="E199" s="13">
        <f t="shared" ref="E199:I203" si="108">E165+E182</f>
        <v>0</v>
      </c>
      <c r="F199" s="326">
        <f t="shared" si="108"/>
        <v>0</v>
      </c>
      <c r="G199" s="160">
        <f t="shared" si="108"/>
        <v>0</v>
      </c>
      <c r="H199" s="13">
        <f t="shared" si="108"/>
        <v>0</v>
      </c>
      <c r="I199" s="13">
        <f t="shared" si="108"/>
        <v>0</v>
      </c>
      <c r="J199" s="13">
        <f t="shared" ref="J199:P199" si="109">J165+J182</f>
        <v>0</v>
      </c>
      <c r="K199" s="13">
        <f t="shared" si="109"/>
        <v>0</v>
      </c>
      <c r="L199" s="13">
        <f t="shared" si="109"/>
        <v>0</v>
      </c>
      <c r="M199" s="13">
        <f t="shared" si="109"/>
        <v>0</v>
      </c>
      <c r="N199" s="13">
        <f t="shared" si="109"/>
        <v>0</v>
      </c>
      <c r="O199" s="13">
        <f t="shared" si="109"/>
        <v>0</v>
      </c>
      <c r="P199" s="13">
        <f t="shared" si="109"/>
        <v>0</v>
      </c>
    </row>
    <row r="200" spans="1:16" ht="12.75" customHeight="1" x14ac:dyDescent="0.25">
      <c r="A200" s="3"/>
      <c r="B200" s="264" t="s">
        <v>47</v>
      </c>
      <c r="C200" s="3"/>
      <c r="D200" s="3"/>
      <c r="E200" s="13">
        <f t="shared" si="108"/>
        <v>0</v>
      </c>
      <c r="F200" s="326">
        <f t="shared" si="108"/>
        <v>0</v>
      </c>
      <c r="G200" s="160">
        <f t="shared" si="108"/>
        <v>0</v>
      </c>
      <c r="H200" s="13">
        <f t="shared" si="108"/>
        <v>0</v>
      </c>
      <c r="I200" s="13">
        <f t="shared" si="108"/>
        <v>0</v>
      </c>
      <c r="J200" s="13">
        <f t="shared" ref="J200:P200" si="110">J166+J183</f>
        <v>0</v>
      </c>
      <c r="K200" s="13">
        <f t="shared" si="110"/>
        <v>0</v>
      </c>
      <c r="L200" s="13">
        <f t="shared" si="110"/>
        <v>0</v>
      </c>
      <c r="M200" s="13">
        <f t="shared" si="110"/>
        <v>0</v>
      </c>
      <c r="N200" s="13">
        <f t="shared" si="110"/>
        <v>0</v>
      </c>
      <c r="O200" s="13">
        <f t="shared" si="110"/>
        <v>0</v>
      </c>
      <c r="P200" s="13">
        <f t="shared" si="110"/>
        <v>0</v>
      </c>
    </row>
    <row r="201" spans="1:16" ht="12.75" customHeight="1" x14ac:dyDescent="0.25">
      <c r="A201" s="3"/>
      <c r="B201" s="82" t="s">
        <v>143</v>
      </c>
      <c r="C201" s="3"/>
      <c r="D201" s="3"/>
      <c r="E201" s="13">
        <f t="shared" si="108"/>
        <v>0</v>
      </c>
      <c r="F201" s="326">
        <f t="shared" si="108"/>
        <v>0</v>
      </c>
      <c r="G201" s="153">
        <f t="shared" si="108"/>
        <v>0</v>
      </c>
      <c r="H201" s="13">
        <f t="shared" si="108"/>
        <v>0</v>
      </c>
      <c r="I201" s="13">
        <f t="shared" si="108"/>
        <v>0</v>
      </c>
      <c r="J201" s="13">
        <f t="shared" ref="J201:P201" si="111">J167+J184</f>
        <v>0</v>
      </c>
      <c r="K201" s="13">
        <f t="shared" si="111"/>
        <v>0</v>
      </c>
      <c r="L201" s="13">
        <f t="shared" si="111"/>
        <v>0</v>
      </c>
      <c r="M201" s="13">
        <f t="shared" si="111"/>
        <v>0</v>
      </c>
      <c r="N201" s="13">
        <f t="shared" si="111"/>
        <v>0</v>
      </c>
      <c r="O201" s="13">
        <f t="shared" si="111"/>
        <v>0</v>
      </c>
      <c r="P201" s="13">
        <f t="shared" si="111"/>
        <v>0</v>
      </c>
    </row>
    <row r="202" spans="1:16" ht="12.75" customHeight="1" x14ac:dyDescent="0.25">
      <c r="A202" s="3"/>
      <c r="B202" s="82" t="s">
        <v>73</v>
      </c>
      <c r="C202" s="3"/>
      <c r="D202" s="3"/>
      <c r="E202" s="13">
        <f t="shared" si="108"/>
        <v>57679.98</v>
      </c>
      <c r="F202" s="326">
        <f t="shared" si="108"/>
        <v>61620</v>
      </c>
      <c r="G202" s="153">
        <f t="shared" si="108"/>
        <v>61621.25</v>
      </c>
      <c r="H202" s="13">
        <f t="shared" si="108"/>
        <v>61617.75</v>
      </c>
      <c r="I202" s="13">
        <f t="shared" si="108"/>
        <v>61609.5</v>
      </c>
      <c r="J202" s="13">
        <f t="shared" ref="J202:P202" si="112">J168+J185</f>
        <v>61596.5</v>
      </c>
      <c r="K202" s="13">
        <f t="shared" si="112"/>
        <v>61578.75</v>
      </c>
      <c r="L202" s="13">
        <f t="shared" si="112"/>
        <v>61556.25</v>
      </c>
      <c r="M202" s="13">
        <f t="shared" si="112"/>
        <v>61529</v>
      </c>
      <c r="N202" s="13">
        <f t="shared" si="112"/>
        <v>61497</v>
      </c>
      <c r="O202" s="13">
        <f t="shared" si="112"/>
        <v>61460.25</v>
      </c>
      <c r="P202" s="13">
        <f t="shared" si="112"/>
        <v>61418.75</v>
      </c>
    </row>
    <row r="203" spans="1:16" ht="12.75" customHeight="1" x14ac:dyDescent="0.25">
      <c r="A203" s="3"/>
      <c r="B203" s="83" t="s">
        <v>144</v>
      </c>
      <c r="C203" s="22"/>
      <c r="D203" s="22"/>
      <c r="E203" s="30">
        <f t="shared" si="108"/>
        <v>0</v>
      </c>
      <c r="F203" s="335">
        <f t="shared" si="108"/>
        <v>0</v>
      </c>
      <c r="G203" s="154">
        <f t="shared" si="108"/>
        <v>0</v>
      </c>
      <c r="H203" s="30">
        <f t="shared" si="108"/>
        <v>0</v>
      </c>
      <c r="I203" s="30">
        <f t="shared" si="108"/>
        <v>0</v>
      </c>
      <c r="J203" s="30">
        <f t="shared" ref="J203:P203" si="113">J169+J186</f>
        <v>0</v>
      </c>
      <c r="K203" s="30">
        <f t="shared" si="113"/>
        <v>0</v>
      </c>
      <c r="L203" s="30">
        <f t="shared" si="113"/>
        <v>0</v>
      </c>
      <c r="M203" s="30">
        <f t="shared" si="113"/>
        <v>0</v>
      </c>
      <c r="N203" s="30">
        <f t="shared" si="113"/>
        <v>0</v>
      </c>
      <c r="O203" s="30">
        <f t="shared" si="113"/>
        <v>0</v>
      </c>
      <c r="P203" s="30">
        <f t="shared" si="113"/>
        <v>0</v>
      </c>
    </row>
    <row r="204" spans="1:16" ht="12.75" customHeight="1" x14ac:dyDescent="0.25">
      <c r="A204" s="127"/>
      <c r="B204" s="129" t="s">
        <v>117</v>
      </c>
      <c r="C204" s="3"/>
      <c r="D204" s="3"/>
      <c r="E204" s="13">
        <f t="shared" ref="E204:I204" si="114">SUM(E199:E203)</f>
        <v>57679.98</v>
      </c>
      <c r="F204" s="326">
        <f t="shared" si="114"/>
        <v>61620</v>
      </c>
      <c r="G204" s="153">
        <f t="shared" si="114"/>
        <v>61621.25</v>
      </c>
      <c r="H204" s="13">
        <f t="shared" si="114"/>
        <v>61617.75</v>
      </c>
      <c r="I204" s="13">
        <f t="shared" si="114"/>
        <v>61609.5</v>
      </c>
      <c r="J204" s="13">
        <f t="shared" ref="J204:P204" si="115">SUM(J199:J203)</f>
        <v>61596.5</v>
      </c>
      <c r="K204" s="13">
        <f t="shared" si="115"/>
        <v>61578.75</v>
      </c>
      <c r="L204" s="13">
        <f t="shared" si="115"/>
        <v>61556.25</v>
      </c>
      <c r="M204" s="13">
        <f t="shared" si="115"/>
        <v>61529</v>
      </c>
      <c r="N204" s="13">
        <f t="shared" si="115"/>
        <v>61497</v>
      </c>
      <c r="O204" s="13">
        <f t="shared" si="115"/>
        <v>61460.25</v>
      </c>
      <c r="P204" s="13">
        <f t="shared" si="115"/>
        <v>61418.75</v>
      </c>
    </row>
    <row r="205" spans="1:16" ht="12.75" customHeight="1" x14ac:dyDescent="0.25">
      <c r="A205" s="127"/>
      <c r="B205" s="13"/>
      <c r="C205" s="3"/>
      <c r="D205" s="3"/>
      <c r="E205" s="13"/>
      <c r="F205" s="326"/>
      <c r="G205" s="153"/>
      <c r="H205" s="13"/>
      <c r="I205" s="13"/>
      <c r="J205" s="13"/>
      <c r="K205" s="13"/>
      <c r="L205" s="13"/>
      <c r="M205" s="13"/>
      <c r="N205" s="13"/>
      <c r="O205" s="13"/>
      <c r="P205" s="13"/>
    </row>
    <row r="206" spans="1:16" ht="12.75" customHeight="1" x14ac:dyDescent="0.25">
      <c r="A206" s="16"/>
      <c r="B206" s="82" t="s">
        <v>48</v>
      </c>
      <c r="C206" s="3"/>
      <c r="D206" s="3"/>
      <c r="E206" s="13"/>
      <c r="F206" s="326"/>
      <c r="G206" s="153"/>
      <c r="H206" s="13"/>
      <c r="I206" s="13"/>
      <c r="J206" s="13"/>
      <c r="K206" s="13"/>
      <c r="L206" s="13"/>
      <c r="M206" s="13"/>
      <c r="N206" s="13"/>
      <c r="O206" s="13"/>
      <c r="P206" s="13"/>
    </row>
    <row r="207" spans="1:16" ht="12.75" customHeight="1" x14ac:dyDescent="0.25">
      <c r="A207" s="82"/>
      <c r="B207" s="129" t="s">
        <v>145</v>
      </c>
      <c r="C207" s="3"/>
      <c r="D207" s="3"/>
      <c r="E207" s="13">
        <f t="shared" ref="E207:I209" si="116">E173+E190</f>
        <v>0</v>
      </c>
      <c r="F207" s="326">
        <f t="shared" si="116"/>
        <v>0</v>
      </c>
      <c r="G207" s="160">
        <f t="shared" si="116"/>
        <v>0</v>
      </c>
      <c r="H207" s="13">
        <f t="shared" si="116"/>
        <v>0</v>
      </c>
      <c r="I207" s="13">
        <f t="shared" si="116"/>
        <v>32892.352787159318</v>
      </c>
      <c r="J207" s="13">
        <f t="shared" ref="J207:P207" si="117">J173+J190</f>
        <v>65784.705574318636</v>
      </c>
      <c r="K207" s="13">
        <f t="shared" si="117"/>
        <v>65784.705574318636</v>
      </c>
      <c r="L207" s="13">
        <f t="shared" si="117"/>
        <v>65784.705574318636</v>
      </c>
      <c r="M207" s="13">
        <f t="shared" si="117"/>
        <v>65784.705574318636</v>
      </c>
      <c r="N207" s="13">
        <f t="shared" si="117"/>
        <v>65784.705574318636</v>
      </c>
      <c r="O207" s="13">
        <f t="shared" si="117"/>
        <v>65784.705574318636</v>
      </c>
      <c r="P207" s="13">
        <f t="shared" si="117"/>
        <v>65784.705574318636</v>
      </c>
    </row>
    <row r="208" spans="1:16" ht="12.75" customHeight="1" x14ac:dyDescent="0.25">
      <c r="A208" s="82"/>
      <c r="B208" s="129" t="s">
        <v>146</v>
      </c>
      <c r="C208" s="3"/>
      <c r="D208" s="3"/>
      <c r="E208" s="13">
        <f t="shared" si="116"/>
        <v>0</v>
      </c>
      <c r="F208" s="326">
        <f t="shared" si="116"/>
        <v>0</v>
      </c>
      <c r="G208" s="153">
        <f t="shared" si="116"/>
        <v>0</v>
      </c>
      <c r="H208" s="13">
        <f t="shared" si="116"/>
        <v>0</v>
      </c>
      <c r="I208" s="13">
        <f t="shared" si="116"/>
        <v>17311.764624820695</v>
      </c>
      <c r="J208" s="13">
        <f t="shared" ref="J208:P208" si="118">J174+J191</f>
        <v>34623.529249641389</v>
      </c>
      <c r="K208" s="13">
        <f t="shared" si="118"/>
        <v>34623.529249641389</v>
      </c>
      <c r="L208" s="13">
        <f t="shared" si="118"/>
        <v>34623.529249641389</v>
      </c>
      <c r="M208" s="13">
        <f t="shared" si="118"/>
        <v>34623.529249641389</v>
      </c>
      <c r="N208" s="13">
        <f t="shared" si="118"/>
        <v>34623.529249641389</v>
      </c>
      <c r="O208" s="13">
        <f t="shared" si="118"/>
        <v>34623.529249641389</v>
      </c>
      <c r="P208" s="13">
        <f t="shared" si="118"/>
        <v>34623.529249641389</v>
      </c>
    </row>
    <row r="209" spans="1:16" ht="12.75" customHeight="1" x14ac:dyDescent="0.25">
      <c r="A209" s="82"/>
      <c r="B209" s="266" t="s">
        <v>147</v>
      </c>
      <c r="C209" s="22"/>
      <c r="D209" s="22"/>
      <c r="E209" s="30">
        <f t="shared" si="116"/>
        <v>57679.98</v>
      </c>
      <c r="F209" s="335">
        <f t="shared" si="116"/>
        <v>61620</v>
      </c>
      <c r="G209" s="154">
        <f t="shared" si="116"/>
        <v>61621.25</v>
      </c>
      <c r="H209" s="30">
        <f t="shared" si="116"/>
        <v>61617.75</v>
      </c>
      <c r="I209" s="30">
        <f t="shared" si="116"/>
        <v>61609.5</v>
      </c>
      <c r="J209" s="30">
        <f t="shared" ref="J209:P209" si="119">J175+J192</f>
        <v>61596.5</v>
      </c>
      <c r="K209" s="30">
        <f t="shared" si="119"/>
        <v>61578.75</v>
      </c>
      <c r="L209" s="30">
        <f t="shared" si="119"/>
        <v>61556.25</v>
      </c>
      <c r="M209" s="30">
        <f t="shared" si="119"/>
        <v>61529</v>
      </c>
      <c r="N209" s="30">
        <f t="shared" si="119"/>
        <v>61497</v>
      </c>
      <c r="O209" s="30">
        <f t="shared" si="119"/>
        <v>61460.25</v>
      </c>
      <c r="P209" s="30">
        <f t="shared" si="119"/>
        <v>61418.75</v>
      </c>
    </row>
    <row r="210" spans="1:16" ht="12.75" customHeight="1" x14ac:dyDescent="0.25">
      <c r="A210" s="128"/>
      <c r="B210" s="129" t="s">
        <v>115</v>
      </c>
      <c r="C210" s="3"/>
      <c r="D210" s="3"/>
      <c r="E210" s="20">
        <f t="shared" ref="E210:I210" si="120">SUM(E206:E209)</f>
        <v>57679.98</v>
      </c>
      <c r="F210" s="329">
        <f t="shared" si="120"/>
        <v>61620</v>
      </c>
      <c r="G210" s="160">
        <f t="shared" si="120"/>
        <v>61621.25</v>
      </c>
      <c r="H210" s="20">
        <f t="shared" si="120"/>
        <v>61617.75</v>
      </c>
      <c r="I210" s="20">
        <f t="shared" si="120"/>
        <v>111813.61741198001</v>
      </c>
      <c r="J210" s="20">
        <f t="shared" ref="J210:P210" si="121">SUM(J206:J209)</f>
        <v>162004.73482396003</v>
      </c>
      <c r="K210" s="20">
        <f t="shared" si="121"/>
        <v>161986.98482396003</v>
      </c>
      <c r="L210" s="20">
        <f t="shared" si="121"/>
        <v>161964.48482396003</v>
      </c>
      <c r="M210" s="20">
        <f t="shared" si="121"/>
        <v>161937.23482396003</v>
      </c>
      <c r="N210" s="20">
        <f t="shared" si="121"/>
        <v>161905.23482396003</v>
      </c>
      <c r="O210" s="20">
        <f t="shared" si="121"/>
        <v>161868.48482396003</v>
      </c>
      <c r="P210" s="20">
        <f t="shared" si="121"/>
        <v>161826.98482396003</v>
      </c>
    </row>
    <row r="211" spans="1:16" ht="12.75" customHeight="1" thickBot="1" x14ac:dyDescent="0.3">
      <c r="A211" s="82"/>
      <c r="B211" s="33"/>
      <c r="C211" s="32"/>
      <c r="D211" s="32"/>
      <c r="E211" s="33"/>
      <c r="F211" s="333"/>
      <c r="G211" s="174"/>
      <c r="H211" s="33"/>
      <c r="I211" s="33"/>
      <c r="J211" s="33"/>
      <c r="K211" s="33"/>
      <c r="L211" s="33"/>
      <c r="M211" s="33"/>
      <c r="N211" s="33"/>
      <c r="O211" s="33"/>
      <c r="P211" s="33"/>
    </row>
    <row r="212" spans="1:16" ht="12.75" customHeight="1" thickTop="1" x14ac:dyDescent="0.25">
      <c r="A212" s="3"/>
      <c r="B212" s="278" t="s">
        <v>168</v>
      </c>
      <c r="C212" s="3"/>
      <c r="D212" s="3"/>
      <c r="E212" s="13"/>
      <c r="F212" s="326"/>
      <c r="G212" s="153">
        <f>G204+G210</f>
        <v>123242.5</v>
      </c>
      <c r="H212" s="13">
        <f>H204+H210</f>
        <v>123235.5</v>
      </c>
      <c r="I212" s="13">
        <f>I204+I210</f>
        <v>173423.11741198</v>
      </c>
      <c r="J212" s="13">
        <f t="shared" ref="J212:P212" si="122">J204+J210</f>
        <v>223601.23482396003</v>
      </c>
      <c r="K212" s="13">
        <f t="shared" si="122"/>
        <v>223565.73482396003</v>
      </c>
      <c r="L212" s="13">
        <f t="shared" si="122"/>
        <v>223520.73482396003</v>
      </c>
      <c r="M212" s="13">
        <f t="shared" si="122"/>
        <v>223466.23482396003</v>
      </c>
      <c r="N212" s="13">
        <f t="shared" si="122"/>
        <v>223402.23482396003</v>
      </c>
      <c r="O212" s="13">
        <f t="shared" si="122"/>
        <v>223328.73482396003</v>
      </c>
      <c r="P212" s="13">
        <f t="shared" si="122"/>
        <v>223245.73482396003</v>
      </c>
    </row>
    <row r="213" spans="1:16" ht="12.75" customHeight="1" thickBot="1" x14ac:dyDescent="0.3">
      <c r="A213" s="14"/>
      <c r="B213" s="7"/>
      <c r="C213" s="7"/>
      <c r="D213" s="7"/>
      <c r="E213" s="15"/>
      <c r="F213" s="327"/>
      <c r="G213" s="155"/>
      <c r="H213" s="15"/>
      <c r="I213" s="15"/>
      <c r="J213" s="15"/>
      <c r="K213" s="15"/>
      <c r="L213" s="15"/>
      <c r="M213" s="15"/>
      <c r="N213" s="15"/>
      <c r="O213" s="15"/>
      <c r="P213" s="15"/>
    </row>
    <row r="214" spans="1:16" ht="12.75" customHeight="1" x14ac:dyDescent="0.25">
      <c r="A214" s="16"/>
      <c r="B214" s="3"/>
      <c r="C214" s="3"/>
      <c r="D214" s="3"/>
      <c r="E214" s="13"/>
      <c r="F214" s="13"/>
      <c r="G214" s="423"/>
      <c r="H214" s="13"/>
      <c r="I214" s="13"/>
      <c r="J214" s="13"/>
      <c r="K214" s="13"/>
    </row>
  </sheetData>
  <mergeCells count="4">
    <mergeCell ref="A4:C4"/>
    <mergeCell ref="A161:C161"/>
    <mergeCell ref="B70:D70"/>
    <mergeCell ref="B118:D118"/>
  </mergeCells>
  <phoneticPr fontId="0" type="noConversion"/>
  <printOptions horizontalCentered="1" verticalCentered="1"/>
  <pageMargins left="0.6" right="0.6" top="0.5" bottom="0.5" header="0" footer="0"/>
  <pageSetup scale="96" fitToHeight="0" orientation="landscape" r:id="rId1"/>
  <headerFooter alignWithMargins="0"/>
  <rowBreaks count="1" manualBreakCount="1">
    <brk id="66" max="10"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D39CF-905C-4489-B008-0A555E7B09AB}">
  <dimension ref="C3:P52"/>
  <sheetViews>
    <sheetView workbookViewId="0">
      <selection activeCell="H47" sqref="H47"/>
    </sheetView>
  </sheetViews>
  <sheetFormatPr defaultRowHeight="13.2" x14ac:dyDescent="0.25"/>
  <cols>
    <col min="3" max="3" width="22.109375" bestFit="1" customWidth="1"/>
  </cols>
  <sheetData>
    <row r="3" spans="3:16" x14ac:dyDescent="0.25">
      <c r="C3" s="432" t="s">
        <v>217</v>
      </c>
    </row>
    <row r="4" spans="3:16" x14ac:dyDescent="0.25">
      <c r="C4" t="s">
        <v>363</v>
      </c>
      <c r="D4" t="s">
        <v>404</v>
      </c>
      <c r="E4" t="s">
        <v>405</v>
      </c>
      <c r="F4" t="s">
        <v>406</v>
      </c>
      <c r="G4" t="s">
        <v>407</v>
      </c>
      <c r="H4" t="s">
        <v>408</v>
      </c>
      <c r="I4" t="s">
        <v>409</v>
      </c>
      <c r="J4" t="s">
        <v>410</v>
      </c>
      <c r="K4" t="s">
        <v>411</v>
      </c>
      <c r="L4" t="s">
        <v>412</v>
      </c>
      <c r="M4" t="s">
        <v>413</v>
      </c>
      <c r="N4" t="s">
        <v>414</v>
      </c>
      <c r="O4" t="s">
        <v>415</v>
      </c>
      <c r="P4" t="s">
        <v>364</v>
      </c>
    </row>
    <row r="5" spans="3:16" x14ac:dyDescent="0.25">
      <c r="C5" t="s">
        <v>349</v>
      </c>
      <c r="D5" s="639">
        <f>2503+3169</f>
        <v>5672</v>
      </c>
      <c r="E5" s="639">
        <f>2503+3179</f>
        <v>5682</v>
      </c>
      <c r="F5" s="639">
        <f>2534+3162</f>
        <v>5696</v>
      </c>
      <c r="G5" s="639">
        <f>2544+3212</f>
        <v>5756</v>
      </c>
      <c r="H5" s="639"/>
      <c r="I5" s="639"/>
      <c r="J5" s="639"/>
      <c r="K5" s="639"/>
      <c r="L5" s="639"/>
      <c r="M5" s="639"/>
      <c r="N5" s="639"/>
      <c r="O5" s="639"/>
      <c r="P5" s="639">
        <f>AVERAGE(D5:O5)</f>
        <v>5701.5</v>
      </c>
    </row>
    <row r="6" spans="3:16" x14ac:dyDescent="0.25">
      <c r="C6" t="s">
        <v>350</v>
      </c>
      <c r="D6" s="639">
        <f>285</f>
        <v>285</v>
      </c>
      <c r="E6" s="639">
        <f>285</f>
        <v>285</v>
      </c>
      <c r="F6" s="639">
        <f>285</f>
        <v>285</v>
      </c>
      <c r="G6" s="639">
        <f>288</f>
        <v>288</v>
      </c>
      <c r="H6" s="639"/>
      <c r="I6" s="639"/>
      <c r="J6" s="639"/>
      <c r="K6" s="639"/>
      <c r="L6" s="639"/>
      <c r="M6" s="639"/>
      <c r="N6" s="639"/>
      <c r="O6" s="639"/>
      <c r="P6" s="639">
        <f t="shared" ref="P6:P9" si="0">AVERAGE(D6:O6)</f>
        <v>285.75</v>
      </c>
    </row>
    <row r="7" spans="3:16" x14ac:dyDescent="0.25">
      <c r="C7" t="s">
        <v>396</v>
      </c>
      <c r="D7" s="639">
        <f>611+769</f>
        <v>1380</v>
      </c>
      <c r="E7" s="639">
        <f>611+779</f>
        <v>1390</v>
      </c>
      <c r="F7" s="639">
        <f>614+778</f>
        <v>1392</v>
      </c>
      <c r="G7" s="639">
        <f>619+783</f>
        <v>1402</v>
      </c>
      <c r="H7" s="639"/>
      <c r="I7" s="639"/>
      <c r="J7" s="639"/>
      <c r="K7" s="639"/>
      <c r="L7" s="639"/>
      <c r="M7" s="639"/>
      <c r="N7" s="639"/>
      <c r="O7" s="639"/>
      <c r="P7" s="639">
        <f t="shared" si="0"/>
        <v>1391</v>
      </c>
    </row>
    <row r="8" spans="3:16" x14ac:dyDescent="0.25">
      <c r="C8" t="s">
        <v>397</v>
      </c>
      <c r="D8" s="639">
        <f>4+2</f>
        <v>6</v>
      </c>
      <c r="E8" s="639">
        <f>4+2</f>
        <v>6</v>
      </c>
      <c r="F8" s="639">
        <f>4+2</f>
        <v>6</v>
      </c>
      <c r="G8" s="639">
        <f>4+2</f>
        <v>6</v>
      </c>
      <c r="H8" s="639"/>
      <c r="I8" s="639"/>
      <c r="J8" s="639"/>
      <c r="K8" s="639"/>
      <c r="L8" s="639"/>
      <c r="M8" s="639"/>
      <c r="N8" s="639"/>
      <c r="O8" s="639"/>
      <c r="P8" s="639">
        <f t="shared" si="0"/>
        <v>6</v>
      </c>
    </row>
    <row r="9" spans="3:16" x14ac:dyDescent="0.25">
      <c r="C9" t="s">
        <v>398</v>
      </c>
      <c r="D9" s="639">
        <f>4</f>
        <v>4</v>
      </c>
      <c r="E9" s="639">
        <f>4</f>
        <v>4</v>
      </c>
      <c r="F9" s="639">
        <v>4</v>
      </c>
      <c r="G9" s="639">
        <v>4</v>
      </c>
      <c r="H9" s="639"/>
      <c r="I9" s="639"/>
      <c r="J9" s="639"/>
      <c r="K9" s="639"/>
      <c r="L9" s="639"/>
      <c r="M9" s="639"/>
      <c r="N9" s="639"/>
      <c r="O9" s="639"/>
      <c r="P9" s="639">
        <f t="shared" si="0"/>
        <v>4</v>
      </c>
    </row>
    <row r="12" spans="3:16" x14ac:dyDescent="0.25">
      <c r="C12" t="s">
        <v>403</v>
      </c>
      <c r="D12" t="s">
        <v>351</v>
      </c>
      <c r="E12" t="s">
        <v>352</v>
      </c>
      <c r="F12" t="s">
        <v>353</v>
      </c>
      <c r="G12" t="s">
        <v>354</v>
      </c>
      <c r="H12" t="s">
        <v>355</v>
      </c>
      <c r="I12" t="s">
        <v>356</v>
      </c>
      <c r="J12" t="s">
        <v>357</v>
      </c>
      <c r="K12" t="s">
        <v>358</v>
      </c>
      <c r="L12" t="s">
        <v>359</v>
      </c>
      <c r="M12" t="s">
        <v>360</v>
      </c>
      <c r="N12" t="s">
        <v>361</v>
      </c>
      <c r="O12" t="s">
        <v>362</v>
      </c>
      <c r="P12" t="s">
        <v>219</v>
      </c>
    </row>
    <row r="13" spans="3:16" x14ac:dyDescent="0.25">
      <c r="C13" t="s">
        <v>349</v>
      </c>
      <c r="D13" s="639">
        <f>206761+221593</f>
        <v>428354</v>
      </c>
      <c r="E13" s="639">
        <f>206761+202175</f>
        <v>408936</v>
      </c>
      <c r="F13" s="639">
        <f>173663+185491</f>
        <v>359154</v>
      </c>
      <c r="G13" s="639">
        <f>163082+184641</f>
        <v>347723</v>
      </c>
      <c r="H13" s="639"/>
      <c r="I13" s="639"/>
      <c r="J13" s="639"/>
      <c r="K13" s="639"/>
      <c r="L13" s="639"/>
      <c r="M13" s="639"/>
      <c r="N13" s="639"/>
      <c r="O13" s="639"/>
      <c r="P13" s="639">
        <f>SUM(D13:O13)</f>
        <v>1544167</v>
      </c>
    </row>
    <row r="14" spans="3:16" x14ac:dyDescent="0.25">
      <c r="C14" t="s">
        <v>350</v>
      </c>
      <c r="D14" s="639">
        <f>19683</f>
        <v>19683</v>
      </c>
      <c r="E14" s="639">
        <f>19683</f>
        <v>19683</v>
      </c>
      <c r="F14" s="639">
        <f>13785</f>
        <v>13785</v>
      </c>
      <c r="G14" s="639">
        <f>14169</f>
        <v>14169</v>
      </c>
      <c r="H14" s="639"/>
      <c r="I14" s="639"/>
      <c r="J14" s="639"/>
      <c r="K14" s="639"/>
      <c r="L14" s="639"/>
      <c r="M14" s="639"/>
      <c r="N14" s="639"/>
      <c r="O14" s="639"/>
      <c r="P14" s="639">
        <f t="shared" ref="P14:P17" si="1">SUM(D14:O14)</f>
        <v>67320</v>
      </c>
    </row>
    <row r="15" spans="3:16" x14ac:dyDescent="0.25">
      <c r="C15" t="s">
        <v>396</v>
      </c>
      <c r="D15" s="639">
        <f>253131+144231</f>
        <v>397362</v>
      </c>
      <c r="E15" s="639">
        <f>253131+145931</f>
        <v>399062</v>
      </c>
      <c r="F15" s="639">
        <f>202691+149817</f>
        <v>352508</v>
      </c>
      <c r="G15" s="639">
        <f>178620+150958</f>
        <v>329578</v>
      </c>
      <c r="H15" s="639"/>
      <c r="I15" s="639"/>
      <c r="J15" s="639"/>
      <c r="K15" s="639"/>
      <c r="L15" s="639"/>
      <c r="M15" s="639"/>
      <c r="N15" s="639"/>
      <c r="O15" s="639"/>
      <c r="P15" s="639">
        <f t="shared" si="1"/>
        <v>1478510</v>
      </c>
    </row>
    <row r="16" spans="3:16" x14ac:dyDescent="0.25">
      <c r="C16" t="s">
        <v>397</v>
      </c>
      <c r="D16" s="639">
        <f>1546+205</f>
        <v>1751</v>
      </c>
      <c r="E16" s="639">
        <f>1546+141</f>
        <v>1687</v>
      </c>
      <c r="F16" s="639">
        <f>859+829</f>
        <v>1688</v>
      </c>
      <c r="G16" s="639">
        <f>630+130</f>
        <v>760</v>
      </c>
      <c r="H16" s="639"/>
      <c r="I16" s="639"/>
      <c r="J16" s="639"/>
      <c r="K16" s="639"/>
      <c r="L16" s="639"/>
      <c r="M16" s="639"/>
      <c r="N16" s="639"/>
      <c r="O16" s="639"/>
      <c r="P16" s="639">
        <f t="shared" si="1"/>
        <v>5886</v>
      </c>
    </row>
    <row r="17" spans="3:16" x14ac:dyDescent="0.25">
      <c r="C17" t="s">
        <v>398</v>
      </c>
      <c r="D17" s="639">
        <v>0</v>
      </c>
      <c r="E17" s="639">
        <v>0</v>
      </c>
      <c r="F17" s="639">
        <v>0</v>
      </c>
      <c r="G17" s="639">
        <v>0</v>
      </c>
      <c r="H17" s="639">
        <v>0</v>
      </c>
      <c r="I17" s="639">
        <v>0</v>
      </c>
      <c r="J17" s="639">
        <v>0</v>
      </c>
      <c r="K17" s="639">
        <v>0</v>
      </c>
      <c r="L17" s="639">
        <v>0</v>
      </c>
      <c r="M17" s="639">
        <v>0</v>
      </c>
      <c r="N17" s="639">
        <v>0</v>
      </c>
      <c r="O17" s="639">
        <v>0</v>
      </c>
      <c r="P17" s="639">
        <f t="shared" si="1"/>
        <v>0</v>
      </c>
    </row>
    <row r="20" spans="3:16" x14ac:dyDescent="0.25">
      <c r="C20" t="s">
        <v>365</v>
      </c>
      <c r="D20" t="s">
        <v>351</v>
      </c>
      <c r="E20" t="s">
        <v>352</v>
      </c>
      <c r="F20" t="s">
        <v>353</v>
      </c>
      <c r="G20" t="s">
        <v>354</v>
      </c>
      <c r="H20" t="s">
        <v>355</v>
      </c>
      <c r="I20" t="s">
        <v>356</v>
      </c>
      <c r="J20" t="s">
        <v>357</v>
      </c>
      <c r="K20" t="s">
        <v>358</v>
      </c>
      <c r="L20" t="s">
        <v>359</v>
      </c>
      <c r="M20" t="s">
        <v>360</v>
      </c>
      <c r="N20" t="s">
        <v>361</v>
      </c>
      <c r="O20" t="s">
        <v>362</v>
      </c>
      <c r="P20" t="s">
        <v>219</v>
      </c>
    </row>
    <row r="21" spans="3:16" x14ac:dyDescent="0.25">
      <c r="C21" t="s">
        <v>349</v>
      </c>
      <c r="D21" s="639">
        <f>D13*100/D5</f>
        <v>7552.0803949224255</v>
      </c>
      <c r="E21" s="639">
        <f t="shared" ref="E21:O21" si="2">E13*100/E5</f>
        <v>7197.043294614572</v>
      </c>
      <c r="F21" s="639">
        <f t="shared" si="2"/>
        <v>6305.3721910112363</v>
      </c>
      <c r="G21" s="639">
        <f t="shared" si="2"/>
        <v>6041.0528144544824</v>
      </c>
      <c r="H21" s="639" t="e">
        <f t="shared" si="2"/>
        <v>#DIV/0!</v>
      </c>
      <c r="I21" s="639" t="e">
        <f t="shared" si="2"/>
        <v>#DIV/0!</v>
      </c>
      <c r="J21" s="639" t="e">
        <f t="shared" si="2"/>
        <v>#DIV/0!</v>
      </c>
      <c r="K21" s="639" t="e">
        <f t="shared" si="2"/>
        <v>#DIV/0!</v>
      </c>
      <c r="L21" s="639" t="e">
        <f t="shared" si="2"/>
        <v>#DIV/0!</v>
      </c>
      <c r="M21" s="639" t="e">
        <f t="shared" si="2"/>
        <v>#DIV/0!</v>
      </c>
      <c r="N21" s="639" t="e">
        <f t="shared" si="2"/>
        <v>#DIV/0!</v>
      </c>
      <c r="O21" s="639" t="e">
        <f t="shared" si="2"/>
        <v>#DIV/0!</v>
      </c>
      <c r="P21" s="639">
        <f>SUM(D13:O13)*100/SUM(D5:O5)</f>
        <v>6770.8804700517412</v>
      </c>
    </row>
    <row r="22" spans="3:16" x14ac:dyDescent="0.25">
      <c r="C22" t="s">
        <v>350</v>
      </c>
      <c r="D22" s="639">
        <f t="shared" ref="D22:O22" si="3">D14*100/D6</f>
        <v>6906.3157894736842</v>
      </c>
      <c r="E22" s="639">
        <f t="shared" si="3"/>
        <v>6906.3157894736842</v>
      </c>
      <c r="F22" s="639">
        <f t="shared" si="3"/>
        <v>4836.8421052631575</v>
      </c>
      <c r="G22" s="639">
        <f t="shared" si="3"/>
        <v>4919.791666666667</v>
      </c>
      <c r="H22" s="639" t="e">
        <f t="shared" si="3"/>
        <v>#DIV/0!</v>
      </c>
      <c r="I22" s="639" t="e">
        <f t="shared" si="3"/>
        <v>#DIV/0!</v>
      </c>
      <c r="J22" s="639" t="e">
        <f t="shared" si="3"/>
        <v>#DIV/0!</v>
      </c>
      <c r="K22" s="639" t="e">
        <f t="shared" si="3"/>
        <v>#DIV/0!</v>
      </c>
      <c r="L22" s="639" t="e">
        <f t="shared" si="3"/>
        <v>#DIV/0!</v>
      </c>
      <c r="M22" s="639" t="e">
        <f t="shared" si="3"/>
        <v>#DIV/0!</v>
      </c>
      <c r="N22" s="639" t="e">
        <f t="shared" si="3"/>
        <v>#DIV/0!</v>
      </c>
      <c r="O22" s="639" t="e">
        <f t="shared" si="3"/>
        <v>#DIV/0!</v>
      </c>
      <c r="P22" s="639">
        <f t="shared" ref="P22:P24" si="4">SUM(D14:O14)*100/SUM(D6:O6)</f>
        <v>5889.7637795275587</v>
      </c>
    </row>
    <row r="23" spans="3:16" x14ac:dyDescent="0.25">
      <c r="C23" t="s">
        <v>396</v>
      </c>
      <c r="D23" s="639">
        <f t="shared" ref="D23:O23" si="5">D15*100/D7</f>
        <v>28794.347826086956</v>
      </c>
      <c r="E23" s="639">
        <f t="shared" si="5"/>
        <v>28709.496402877699</v>
      </c>
      <c r="F23" s="639">
        <f t="shared" si="5"/>
        <v>25323.850574712644</v>
      </c>
      <c r="G23" s="639">
        <f t="shared" si="5"/>
        <v>23507.703281027105</v>
      </c>
      <c r="H23" s="639" t="e">
        <f t="shared" si="5"/>
        <v>#DIV/0!</v>
      </c>
      <c r="I23" s="639" t="e">
        <f t="shared" si="5"/>
        <v>#DIV/0!</v>
      </c>
      <c r="J23" s="639" t="e">
        <f t="shared" si="5"/>
        <v>#DIV/0!</v>
      </c>
      <c r="K23" s="639" t="e">
        <f t="shared" si="5"/>
        <v>#DIV/0!</v>
      </c>
      <c r="L23" s="639" t="e">
        <f t="shared" si="5"/>
        <v>#DIV/0!</v>
      </c>
      <c r="M23" s="639" t="e">
        <f t="shared" si="5"/>
        <v>#DIV/0!</v>
      </c>
      <c r="N23" s="639" t="e">
        <f t="shared" si="5"/>
        <v>#DIV/0!</v>
      </c>
      <c r="O23" s="639" t="e">
        <f t="shared" si="5"/>
        <v>#DIV/0!</v>
      </c>
      <c r="P23" s="639">
        <f t="shared" si="4"/>
        <v>26572.789360172537</v>
      </c>
    </row>
    <row r="24" spans="3:16" x14ac:dyDescent="0.25">
      <c r="C24" t="s">
        <v>397</v>
      </c>
      <c r="D24" s="639">
        <f t="shared" ref="D24:O24" si="6">D16*100/D8</f>
        <v>29183.333333333332</v>
      </c>
      <c r="E24" s="639">
        <f t="shared" si="6"/>
        <v>28116.666666666668</v>
      </c>
      <c r="F24" s="639">
        <f t="shared" si="6"/>
        <v>28133.333333333332</v>
      </c>
      <c r="G24" s="639">
        <f t="shared" si="6"/>
        <v>12666.666666666666</v>
      </c>
      <c r="H24" s="639" t="e">
        <f t="shared" si="6"/>
        <v>#DIV/0!</v>
      </c>
      <c r="I24" s="639" t="e">
        <f t="shared" si="6"/>
        <v>#DIV/0!</v>
      </c>
      <c r="J24" s="639" t="e">
        <f t="shared" si="6"/>
        <v>#DIV/0!</v>
      </c>
      <c r="K24" s="639" t="e">
        <f t="shared" si="6"/>
        <v>#DIV/0!</v>
      </c>
      <c r="L24" s="639" t="e">
        <f t="shared" si="6"/>
        <v>#DIV/0!</v>
      </c>
      <c r="M24" s="639" t="e">
        <f t="shared" si="6"/>
        <v>#DIV/0!</v>
      </c>
      <c r="N24" s="639" t="e">
        <f t="shared" si="6"/>
        <v>#DIV/0!</v>
      </c>
      <c r="O24" s="639" t="e">
        <f t="shared" si="6"/>
        <v>#DIV/0!</v>
      </c>
      <c r="P24" s="639">
        <f t="shared" si="4"/>
        <v>24525</v>
      </c>
    </row>
    <row r="25" spans="3:16" x14ac:dyDescent="0.25">
      <c r="C25" t="s">
        <v>398</v>
      </c>
      <c r="D25" s="639"/>
      <c r="E25" s="639"/>
      <c r="F25" s="639"/>
      <c r="G25" s="639"/>
      <c r="H25" s="639"/>
      <c r="I25" s="639"/>
      <c r="J25" s="639"/>
      <c r="K25" s="639"/>
      <c r="L25" s="639"/>
      <c r="M25" s="639"/>
      <c r="N25" s="639"/>
      <c r="O25" s="639"/>
      <c r="P25" s="639"/>
    </row>
    <row r="29" spans="3:16" x14ac:dyDescent="0.25">
      <c r="C29" s="432" t="s">
        <v>366</v>
      </c>
    </row>
    <row r="30" spans="3:16" x14ac:dyDescent="0.25">
      <c r="C30" t="s">
        <v>363</v>
      </c>
      <c r="D30" t="s">
        <v>351</v>
      </c>
      <c r="E30" t="s">
        <v>352</v>
      </c>
      <c r="F30" t="s">
        <v>353</v>
      </c>
      <c r="G30" t="s">
        <v>354</v>
      </c>
      <c r="H30" t="s">
        <v>355</v>
      </c>
      <c r="I30" t="s">
        <v>356</v>
      </c>
      <c r="J30" t="s">
        <v>357</v>
      </c>
      <c r="K30" t="s">
        <v>358</v>
      </c>
      <c r="L30" t="s">
        <v>359</v>
      </c>
      <c r="M30" t="s">
        <v>360</v>
      </c>
      <c r="N30" t="s">
        <v>361</v>
      </c>
      <c r="O30" t="s">
        <v>362</v>
      </c>
      <c r="P30" t="s">
        <v>364</v>
      </c>
    </row>
    <row r="31" spans="3:16" x14ac:dyDescent="0.25">
      <c r="C31" s="432" t="s">
        <v>399</v>
      </c>
      <c r="D31" s="639">
        <f>2303+2939</f>
        <v>5242</v>
      </c>
      <c r="E31" s="639">
        <f>2303+2946</f>
        <v>5249</v>
      </c>
      <c r="F31" s="639">
        <f>2337+2929</f>
        <v>5266</v>
      </c>
      <c r="G31" s="639">
        <f>2346+2977</f>
        <v>5323</v>
      </c>
      <c r="H31" s="639"/>
      <c r="I31" s="639"/>
      <c r="J31" s="639"/>
      <c r="K31" s="639"/>
      <c r="L31" s="639"/>
      <c r="M31" s="639"/>
      <c r="N31" s="639"/>
      <c r="O31" s="639"/>
      <c r="P31" s="639">
        <f>AVERAGE(D31:O31)</f>
        <v>5270</v>
      </c>
    </row>
    <row r="32" spans="3:16" x14ac:dyDescent="0.25">
      <c r="C32" s="432" t="s">
        <v>400</v>
      </c>
      <c r="D32" s="639">
        <f>43</f>
        <v>43</v>
      </c>
      <c r="E32" s="639">
        <f>43</f>
        <v>43</v>
      </c>
      <c r="F32" s="639">
        <f>42</f>
        <v>42</v>
      </c>
      <c r="G32" s="639">
        <f>43</f>
        <v>43</v>
      </c>
      <c r="H32" s="639"/>
      <c r="I32" s="639"/>
      <c r="J32" s="639"/>
      <c r="K32" s="639"/>
      <c r="L32" s="639"/>
      <c r="M32" s="639"/>
      <c r="N32" s="639"/>
      <c r="O32" s="639"/>
      <c r="P32" s="639">
        <f t="shared" ref="P32:P36" si="7">AVERAGE(D32:O32)</f>
        <v>42.75</v>
      </c>
    </row>
    <row r="33" spans="3:16" x14ac:dyDescent="0.25">
      <c r="C33" t="s">
        <v>396</v>
      </c>
      <c r="D33" s="639">
        <f>526+683</f>
        <v>1209</v>
      </c>
      <c r="E33" s="639">
        <f>526+692</f>
        <v>1218</v>
      </c>
      <c r="F33" s="639">
        <f>528+692</f>
        <v>1220</v>
      </c>
      <c r="G33" s="639">
        <f>530+694</f>
        <v>1224</v>
      </c>
      <c r="H33" s="639"/>
      <c r="I33" s="639"/>
      <c r="J33" s="639"/>
      <c r="K33" s="639"/>
      <c r="L33" s="639"/>
      <c r="M33" s="639"/>
      <c r="N33" s="639"/>
      <c r="O33" s="639"/>
      <c r="P33" s="639">
        <f t="shared" si="7"/>
        <v>1217.75</v>
      </c>
    </row>
    <row r="34" spans="3:16" x14ac:dyDescent="0.25">
      <c r="C34" t="s">
        <v>397</v>
      </c>
      <c r="D34" s="639">
        <v>1</v>
      </c>
      <c r="E34" s="639">
        <v>1</v>
      </c>
      <c r="F34" s="639">
        <v>1</v>
      </c>
      <c r="G34" s="639">
        <v>1</v>
      </c>
      <c r="H34" s="639"/>
      <c r="I34" s="639"/>
      <c r="J34" s="639"/>
      <c r="K34" s="639"/>
      <c r="L34" s="639"/>
      <c r="M34" s="639"/>
      <c r="N34" s="639"/>
      <c r="O34" s="639"/>
      <c r="P34" s="639">
        <f t="shared" si="7"/>
        <v>1</v>
      </c>
    </row>
    <row r="35" spans="3:16" x14ac:dyDescent="0.25">
      <c r="C35" t="s">
        <v>401</v>
      </c>
      <c r="D35" s="639">
        <f>173+137</f>
        <v>310</v>
      </c>
      <c r="E35" s="639">
        <f>173+138</f>
        <v>311</v>
      </c>
      <c r="F35" s="639">
        <f>174+138</f>
        <v>312</v>
      </c>
      <c r="G35" s="639">
        <f>176+138</f>
        <v>314</v>
      </c>
      <c r="H35" s="639"/>
      <c r="I35" s="639"/>
      <c r="J35" s="639"/>
      <c r="K35" s="639"/>
      <c r="L35" s="639"/>
      <c r="M35" s="639"/>
      <c r="N35" s="639"/>
      <c r="O35" s="639"/>
      <c r="P35" s="639">
        <f t="shared" si="7"/>
        <v>311.75</v>
      </c>
    </row>
    <row r="36" spans="3:16" x14ac:dyDescent="0.25">
      <c r="C36" t="s">
        <v>402</v>
      </c>
      <c r="D36" s="639">
        <f>2</f>
        <v>2</v>
      </c>
      <c r="E36" s="639">
        <f>2</f>
        <v>2</v>
      </c>
      <c r="F36">
        <f>2</f>
        <v>2</v>
      </c>
      <c r="G36">
        <f>2</f>
        <v>2</v>
      </c>
      <c r="P36" s="639">
        <f t="shared" si="7"/>
        <v>2</v>
      </c>
    </row>
    <row r="38" spans="3:16" x14ac:dyDescent="0.25">
      <c r="C38" t="s">
        <v>403</v>
      </c>
      <c r="D38" t="s">
        <v>351</v>
      </c>
      <c r="E38" t="s">
        <v>352</v>
      </c>
      <c r="F38" t="s">
        <v>353</v>
      </c>
      <c r="G38" t="s">
        <v>354</v>
      </c>
      <c r="H38" t="s">
        <v>355</v>
      </c>
      <c r="I38" t="s">
        <v>356</v>
      </c>
      <c r="J38" t="s">
        <v>357</v>
      </c>
      <c r="K38" t="s">
        <v>358</v>
      </c>
      <c r="L38" t="s">
        <v>359</v>
      </c>
      <c r="M38" t="s">
        <v>360</v>
      </c>
      <c r="N38" t="s">
        <v>361</v>
      </c>
      <c r="O38" t="s">
        <v>362</v>
      </c>
      <c r="P38" t="s">
        <v>219</v>
      </c>
    </row>
    <row r="39" spans="3:16" x14ac:dyDescent="0.25">
      <c r="C39" s="432" t="s">
        <v>399</v>
      </c>
      <c r="D39" s="639">
        <f>177523+195564</f>
        <v>373087</v>
      </c>
      <c r="E39" s="639">
        <f>177523+185496</f>
        <v>363019</v>
      </c>
      <c r="F39" s="639">
        <f>149652+167409</f>
        <v>317061</v>
      </c>
      <c r="G39" s="639">
        <f>146103+172677</f>
        <v>318780</v>
      </c>
      <c r="H39" s="639"/>
      <c r="I39" s="639"/>
      <c r="J39" s="639"/>
      <c r="K39" s="639"/>
      <c r="L39" s="639"/>
      <c r="M39" s="639"/>
      <c r="N39" s="639"/>
      <c r="O39" s="639"/>
      <c r="P39" s="639">
        <f>SUM(D39:O39)</f>
        <v>1371947</v>
      </c>
    </row>
    <row r="40" spans="3:16" x14ac:dyDescent="0.25">
      <c r="C40" s="432" t="s">
        <v>400</v>
      </c>
      <c r="D40" s="639">
        <f>2897</f>
        <v>2897</v>
      </c>
      <c r="E40" s="639">
        <f>2897</f>
        <v>2897</v>
      </c>
      <c r="F40" s="639">
        <f>1816</f>
        <v>1816</v>
      </c>
      <c r="G40" s="639">
        <f>2619</f>
        <v>2619</v>
      </c>
      <c r="H40" s="639"/>
      <c r="I40" s="639"/>
      <c r="J40" s="639"/>
      <c r="K40" s="639"/>
      <c r="L40" s="639"/>
      <c r="M40" s="639"/>
      <c r="N40" s="639"/>
      <c r="O40" s="639"/>
      <c r="P40" s="639">
        <f>SUM(D40:O40)</f>
        <v>10229</v>
      </c>
    </row>
    <row r="41" spans="3:16" x14ac:dyDescent="0.25">
      <c r="C41" t="s">
        <v>396</v>
      </c>
      <c r="D41" s="639">
        <f>190569+126168</f>
        <v>316737</v>
      </c>
      <c r="E41" s="639">
        <f>190569+122375</f>
        <v>312944</v>
      </c>
      <c r="F41" s="639">
        <f>164541+128383</f>
        <v>292924</v>
      </c>
      <c r="G41" s="639">
        <f>147165+134688</f>
        <v>281853</v>
      </c>
      <c r="H41" s="639"/>
      <c r="I41" s="639"/>
      <c r="J41" s="639"/>
      <c r="K41" s="639"/>
      <c r="L41" s="639"/>
      <c r="M41" s="639"/>
      <c r="N41" s="639"/>
      <c r="O41" s="639"/>
      <c r="P41" s="639">
        <f t="shared" ref="P41:P42" si="8">SUM(D41:O41)</f>
        <v>1204458</v>
      </c>
    </row>
    <row r="42" spans="3:16" x14ac:dyDescent="0.25">
      <c r="C42" t="s">
        <v>397</v>
      </c>
      <c r="D42" s="639">
        <v>65</v>
      </c>
      <c r="E42" s="639">
        <v>0</v>
      </c>
      <c r="F42" s="639">
        <v>736</v>
      </c>
      <c r="G42" s="639">
        <v>0</v>
      </c>
      <c r="H42" s="639"/>
      <c r="I42" s="639"/>
      <c r="J42" s="639"/>
      <c r="K42" s="639"/>
      <c r="L42" s="639"/>
      <c r="M42" s="639"/>
      <c r="N42" s="639"/>
      <c r="O42" s="639"/>
      <c r="P42" s="639">
        <f t="shared" si="8"/>
        <v>801</v>
      </c>
    </row>
    <row r="43" spans="3:16" x14ac:dyDescent="0.25">
      <c r="C43" t="s">
        <v>401</v>
      </c>
      <c r="D43" s="639"/>
      <c r="E43" s="639"/>
      <c r="F43" s="639"/>
      <c r="G43" s="639"/>
      <c r="H43" s="639"/>
      <c r="I43" s="639"/>
      <c r="J43" s="639"/>
      <c r="K43" s="639"/>
      <c r="L43" s="639"/>
      <c r="M43" s="639"/>
      <c r="N43" s="639"/>
      <c r="O43" s="639"/>
      <c r="P43" s="639"/>
    </row>
    <row r="44" spans="3:16" x14ac:dyDescent="0.25">
      <c r="C44" t="s">
        <v>402</v>
      </c>
    </row>
    <row r="46" spans="3:16" x14ac:dyDescent="0.25">
      <c r="C46" t="s">
        <v>365</v>
      </c>
      <c r="D46" t="s">
        <v>351</v>
      </c>
      <c r="E46" t="s">
        <v>352</v>
      </c>
      <c r="F46" t="s">
        <v>353</v>
      </c>
      <c r="G46" t="s">
        <v>354</v>
      </c>
      <c r="H46" t="s">
        <v>355</v>
      </c>
      <c r="I46" t="s">
        <v>356</v>
      </c>
      <c r="J46" t="s">
        <v>357</v>
      </c>
      <c r="K46" t="s">
        <v>358</v>
      </c>
      <c r="L46" t="s">
        <v>359</v>
      </c>
      <c r="M46" t="s">
        <v>360</v>
      </c>
      <c r="N46" t="s">
        <v>361</v>
      </c>
      <c r="O46" t="s">
        <v>362</v>
      </c>
      <c r="P46" t="s">
        <v>219</v>
      </c>
    </row>
    <row r="47" spans="3:16" x14ac:dyDescent="0.25">
      <c r="C47" s="432" t="s">
        <v>399</v>
      </c>
      <c r="D47" s="639">
        <f>D39*100/D31</f>
        <v>7117.2644028996565</v>
      </c>
      <c r="E47" s="639">
        <f t="shared" ref="E47:O47" si="9">E39*100/E31</f>
        <v>6915.9649457039432</v>
      </c>
      <c r="F47" s="639">
        <f t="shared" si="9"/>
        <v>6020.9077098366879</v>
      </c>
      <c r="G47" s="639">
        <f t="shared" si="9"/>
        <v>5988.7281608115727</v>
      </c>
      <c r="H47" s="639" t="e">
        <f t="shared" si="9"/>
        <v>#DIV/0!</v>
      </c>
      <c r="I47" s="639" t="e">
        <f t="shared" si="9"/>
        <v>#DIV/0!</v>
      </c>
      <c r="J47" s="639" t="e">
        <f t="shared" si="9"/>
        <v>#DIV/0!</v>
      </c>
      <c r="K47" s="639" t="e">
        <f t="shared" si="9"/>
        <v>#DIV/0!</v>
      </c>
      <c r="L47" s="639" t="e">
        <f t="shared" si="9"/>
        <v>#DIV/0!</v>
      </c>
      <c r="M47" s="639" t="e">
        <f t="shared" si="9"/>
        <v>#DIV/0!</v>
      </c>
      <c r="N47" s="639" t="e">
        <f t="shared" si="9"/>
        <v>#DIV/0!</v>
      </c>
      <c r="O47" s="639" t="e">
        <f t="shared" si="9"/>
        <v>#DIV/0!</v>
      </c>
      <c r="P47" s="639">
        <f>SUM(D39:O39)*100/SUM(D31:O31)</f>
        <v>6508.2874762808351</v>
      </c>
    </row>
    <row r="48" spans="3:16" x14ac:dyDescent="0.25">
      <c r="C48" s="432" t="s">
        <v>400</v>
      </c>
      <c r="D48" s="639">
        <f t="shared" ref="D48:O48" si="10">D40*100/D32</f>
        <v>6737.2093023255811</v>
      </c>
      <c r="E48" s="639">
        <f t="shared" si="10"/>
        <v>6737.2093023255811</v>
      </c>
      <c r="F48" s="639">
        <f t="shared" si="10"/>
        <v>4323.8095238095239</v>
      </c>
      <c r="G48" s="639">
        <f t="shared" si="10"/>
        <v>6090.6976744186049</v>
      </c>
      <c r="H48" s="639" t="e">
        <f t="shared" si="10"/>
        <v>#DIV/0!</v>
      </c>
      <c r="I48" s="639" t="e">
        <f t="shared" si="10"/>
        <v>#DIV/0!</v>
      </c>
      <c r="J48" s="639" t="e">
        <f t="shared" si="10"/>
        <v>#DIV/0!</v>
      </c>
      <c r="K48" s="639" t="e">
        <f t="shared" si="10"/>
        <v>#DIV/0!</v>
      </c>
      <c r="L48" s="639" t="e">
        <f t="shared" si="10"/>
        <v>#DIV/0!</v>
      </c>
      <c r="M48" s="639" t="e">
        <f t="shared" si="10"/>
        <v>#DIV/0!</v>
      </c>
      <c r="N48" s="639" t="e">
        <f t="shared" si="10"/>
        <v>#DIV/0!</v>
      </c>
      <c r="O48" s="639" t="e">
        <f t="shared" si="10"/>
        <v>#DIV/0!</v>
      </c>
      <c r="P48" s="639">
        <f t="shared" ref="P48:P50" si="11">SUM(D40:O40)*100/SUM(D32:O32)</f>
        <v>5981.8713450292398</v>
      </c>
    </row>
    <row r="49" spans="3:16" x14ac:dyDescent="0.25">
      <c r="C49" t="s">
        <v>396</v>
      </c>
      <c r="D49" s="639">
        <f t="shared" ref="D49:O49" si="12">D41*100/D33</f>
        <v>26198.263027295285</v>
      </c>
      <c r="E49" s="639">
        <f t="shared" si="12"/>
        <v>25693.267651888342</v>
      </c>
      <c r="F49" s="639">
        <f t="shared" si="12"/>
        <v>24010.163934426229</v>
      </c>
      <c r="G49" s="639">
        <f t="shared" si="12"/>
        <v>23027.205882352941</v>
      </c>
      <c r="H49" s="639" t="e">
        <f t="shared" si="12"/>
        <v>#DIV/0!</v>
      </c>
      <c r="I49" s="639" t="e">
        <f t="shared" si="12"/>
        <v>#DIV/0!</v>
      </c>
      <c r="J49" s="639" t="e">
        <f t="shared" si="12"/>
        <v>#DIV/0!</v>
      </c>
      <c r="K49" s="639" t="e">
        <f t="shared" si="12"/>
        <v>#DIV/0!</v>
      </c>
      <c r="L49" s="639" t="e">
        <f t="shared" si="12"/>
        <v>#DIV/0!</v>
      </c>
      <c r="M49" s="639" t="e">
        <f t="shared" si="12"/>
        <v>#DIV/0!</v>
      </c>
      <c r="N49" s="639" t="e">
        <f t="shared" si="12"/>
        <v>#DIV/0!</v>
      </c>
      <c r="O49" s="639" t="e">
        <f t="shared" si="12"/>
        <v>#DIV/0!</v>
      </c>
      <c r="P49" s="639">
        <f t="shared" si="11"/>
        <v>24727.119687949085</v>
      </c>
    </row>
    <row r="50" spans="3:16" x14ac:dyDescent="0.25">
      <c r="C50" t="s">
        <v>397</v>
      </c>
      <c r="D50" s="639">
        <f t="shared" ref="D50:O50" si="13">D42*100/D34</f>
        <v>6500</v>
      </c>
      <c r="E50" s="639">
        <f t="shared" si="13"/>
        <v>0</v>
      </c>
      <c r="F50" s="639">
        <f t="shared" si="13"/>
        <v>73600</v>
      </c>
      <c r="G50" s="639">
        <f t="shared" si="13"/>
        <v>0</v>
      </c>
      <c r="H50" s="639" t="e">
        <f t="shared" si="13"/>
        <v>#DIV/0!</v>
      </c>
      <c r="I50" s="639" t="e">
        <f t="shared" si="13"/>
        <v>#DIV/0!</v>
      </c>
      <c r="J50" s="639" t="e">
        <f t="shared" si="13"/>
        <v>#DIV/0!</v>
      </c>
      <c r="K50" s="639" t="e">
        <f t="shared" si="13"/>
        <v>#DIV/0!</v>
      </c>
      <c r="L50" s="639" t="e">
        <f t="shared" si="13"/>
        <v>#DIV/0!</v>
      </c>
      <c r="M50" s="639" t="e">
        <f t="shared" si="13"/>
        <v>#DIV/0!</v>
      </c>
      <c r="N50" s="639" t="e">
        <f t="shared" si="13"/>
        <v>#DIV/0!</v>
      </c>
      <c r="O50" s="639" t="e">
        <f t="shared" si="13"/>
        <v>#DIV/0!</v>
      </c>
      <c r="P50" s="639">
        <f t="shared" si="11"/>
        <v>20025</v>
      </c>
    </row>
    <row r="51" spans="3:16" x14ac:dyDescent="0.25">
      <c r="C51" t="s">
        <v>401</v>
      </c>
    </row>
    <row r="52" spans="3:16" x14ac:dyDescent="0.25">
      <c r="C52" t="s">
        <v>402</v>
      </c>
    </row>
  </sheetData>
  <phoneticPr fontId="1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9</vt:i4>
      </vt:variant>
    </vt:vector>
  </HeadingPairs>
  <TitlesOfParts>
    <vt:vector size="23" baseType="lpstr">
      <vt:lpstr>Summary</vt:lpstr>
      <vt:lpstr>Output Graphs</vt:lpstr>
      <vt:lpstr>Sum</vt:lpstr>
      <vt:lpstr>Bills</vt:lpstr>
      <vt:lpstr>W-Dem</vt:lpstr>
      <vt:lpstr>WW-Dem</vt:lpstr>
      <vt:lpstr>T-Rev</vt:lpstr>
      <vt:lpstr>W-Rev</vt:lpstr>
      <vt:lpstr>WW-Rev</vt:lpstr>
      <vt:lpstr>Exp</vt:lpstr>
      <vt:lpstr>W-CIP</vt:lpstr>
      <vt:lpstr>WW-CIP</vt:lpstr>
      <vt:lpstr>Debt</vt:lpstr>
      <vt:lpstr>Customer Data</vt:lpstr>
      <vt:lpstr>Debt!Print_Area</vt:lpstr>
      <vt:lpstr>Sum!Print_Area</vt:lpstr>
      <vt:lpstr>'T-Rev'!Print_Area</vt:lpstr>
      <vt:lpstr>'W-CIP'!Print_Area</vt:lpstr>
      <vt:lpstr>'W-Dem'!Print_Area</vt:lpstr>
      <vt:lpstr>'W-Rev'!Print_Area</vt:lpstr>
      <vt:lpstr>'WW-CIP'!Print_Area</vt:lpstr>
      <vt:lpstr>'WW-Dem'!Print_Area</vt:lpstr>
      <vt:lpstr>'WW-Rev'!Print_Area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tbagwell</dc:creator>
  <cp:lastModifiedBy>Charles Borchers</cp:lastModifiedBy>
  <cp:lastPrinted>2026-02-10T20:46:53Z</cp:lastPrinted>
  <dcterms:created xsi:type="dcterms:W3CDTF">1999-07-16T13:04:28Z</dcterms:created>
  <dcterms:modified xsi:type="dcterms:W3CDTF">2026-02-10T20:47:03Z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530ee07-aa2b-47c7-bd4c-7cc545b5d455_Enabled">
    <vt:lpwstr>true</vt:lpwstr>
  </property>
  <property fmtid="{D5CDD505-2E9C-101B-9397-08002B2CF9AE}" pid="3" name="MSIP_Label_b530ee07-aa2b-47c7-bd4c-7cc545b5d455_SetDate">
    <vt:lpwstr>2024-05-21T14:22:09Z</vt:lpwstr>
  </property>
  <property fmtid="{D5CDD505-2E9C-101B-9397-08002B2CF9AE}" pid="4" name="MSIP_Label_b530ee07-aa2b-47c7-bd4c-7cc545b5d455_Method">
    <vt:lpwstr>Standard</vt:lpwstr>
  </property>
  <property fmtid="{D5CDD505-2E9C-101B-9397-08002B2CF9AE}" pid="5" name="MSIP_Label_b530ee07-aa2b-47c7-bd4c-7cc545b5d455_Name">
    <vt:lpwstr>HDR General Label</vt:lpwstr>
  </property>
  <property fmtid="{D5CDD505-2E9C-101B-9397-08002B2CF9AE}" pid="6" name="MSIP_Label_b530ee07-aa2b-47c7-bd4c-7cc545b5d455_SiteId">
    <vt:lpwstr>3667e201-cbdc-48b3-9b42-5d2d3f16e2a9</vt:lpwstr>
  </property>
  <property fmtid="{D5CDD505-2E9C-101B-9397-08002B2CF9AE}" pid="7" name="MSIP_Label_b530ee07-aa2b-47c7-bd4c-7cc545b5d455_ActionId">
    <vt:lpwstr>fac878c0-a579-47bb-b922-baea4e20fc2a</vt:lpwstr>
  </property>
  <property fmtid="{D5CDD505-2E9C-101B-9397-08002B2CF9AE}" pid="8" name="MSIP_Label_b530ee07-aa2b-47c7-bd4c-7cc545b5d455_ContentBits">
    <vt:lpwstr>0</vt:lpwstr>
  </property>
</Properties>
</file>